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7.xml" ContentType="application/vnd.openxmlformats-officedocument.spreadsheetml.externalLink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8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6.xml" ContentType="application/vnd.openxmlformats-officedocument.spreadsheetml.externalLink+xml"/>
  <Default Extension="jpeg" ContentType="image/jpe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-120" yWindow="-120" windowWidth="28920" windowHeight="15840" tabRatio="855"/>
  </bookViews>
  <sheets>
    <sheet name="Перечень необх.документов" sheetId="41" r:id="rId1"/>
    <sheet name="Заявление" sheetId="74" r:id="rId2"/>
    <sheet name="Реквизиты организации" sheetId="42" r:id="rId3"/>
    <sheet name="2.1" sheetId="18" r:id="rId4"/>
    <sheet name="2.2" sheetId="19" r:id="rId5"/>
    <sheet name="1.4" sheetId="27" r:id="rId6"/>
    <sheet name="1.5" sheetId="32" r:id="rId7"/>
    <sheet name="Свод долгосрочный " sheetId="43" r:id="rId8"/>
    <sheet name="Сырье и материалы" sheetId="64" r:id="rId9"/>
    <sheet name="Раб. и усл. произ. хар-ра" sheetId="75" r:id="rId10"/>
    <sheet name="Затраты на ремонт" sheetId="4" r:id="rId11"/>
    <sheet name="Оплата труда" sheetId="10" r:id="rId12"/>
    <sheet name="Числ. и разряд" sheetId="66" r:id="rId13"/>
    <sheet name="Другие прочие и подконтрольные " sheetId="65" r:id="rId14"/>
    <sheet name="Оплата услуг ФСК" sheetId="50" r:id="rId15"/>
    <sheet name="Содержание зданий" sheetId="45" r:id="rId16"/>
    <sheet name="Аренда имущества" sheetId="59" r:id="rId17"/>
    <sheet name="Лизинг" sheetId="84" state="hidden" r:id="rId18"/>
    <sheet name="Плата за землю" sheetId="46" r:id="rId19"/>
    <sheet name="Налог на имущество" sheetId="48" r:id="rId20"/>
    <sheet name="Транс. налог" sheetId="47" r:id="rId21"/>
    <sheet name="негативное воздействие " sheetId="49" r:id="rId22"/>
    <sheet name="прочие налоги и сборы" sheetId="68" r:id="rId23"/>
    <sheet name="прочие НР" sheetId="51" r:id="rId24"/>
    <sheet name="Аммортизация" sheetId="21" r:id="rId25"/>
    <sheet name="Корр ПР" sheetId="69" r:id="rId26"/>
    <sheet name="Корр. НР" sheetId="60" r:id="rId27"/>
    <sheet name="Корр. ПО" sheetId="61" r:id="rId28"/>
    <sheet name="Корр. ИП" sheetId="62" r:id="rId29"/>
    <sheet name="Корр. КНК" sheetId="55" r:id="rId30"/>
    <sheet name="Выпадающие от ТП" sheetId="79" r:id="rId31"/>
    <sheet name="ТЭП" sheetId="63" r:id="rId32"/>
    <sheet name="Форма 1" sheetId="72" r:id="rId33"/>
    <sheet name="Форма 2" sheetId="73" r:id="rId34"/>
    <sheet name="Информация о согл. объемах" sheetId="80" r:id="rId35"/>
    <sheet name="Смета расходов и доходов" sheetId="81" r:id="rId36"/>
    <sheet name="Свод  по актам ФСК" sheetId="82" r:id="rId37"/>
    <sheet name="Доходы" sheetId="83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\a">#REF!</definedName>
    <definedName name="\m">#REF!</definedName>
    <definedName name="\n">#REF!</definedName>
    <definedName name="\o">#REF!</definedName>
    <definedName name="_M8">#N/A</definedName>
    <definedName name="_M9">#N/A</definedName>
    <definedName name="_Num2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xlnm._FilterDatabase" localSheetId="20" hidden="1">'Транс. налог'!$A$6:$M$32</definedName>
    <definedName name="÷ĺňâĺđňűé">#REF!</definedName>
    <definedName name="AES">#REF!</definedName>
    <definedName name="àî">#N/A</definedName>
    <definedName name="ALL_ORG">#REF!</definedName>
    <definedName name="âňîđîé">#REF!</definedName>
    <definedName name="anscount" hidden="1">1</definedName>
    <definedName name="AOE">#REF!</definedName>
    <definedName name="APR">#REF!</definedName>
    <definedName name="AUG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d">#N/A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om">#N/A</definedName>
    <definedName name="CompOt" localSheetId="6">'1.5'!CompOt</definedName>
    <definedName name="CompOt">'1.5'!CompOt</definedName>
    <definedName name="CompOt2">#N/A</definedName>
    <definedName name="CompRas" localSheetId="6">'1.5'!CompRas</definedName>
    <definedName name="CompRas">'1.5'!CompRas</definedName>
    <definedName name="Contents">#REF!</definedName>
    <definedName name="COPY_DIAP">#REF!</definedName>
    <definedName name="ct">#N/A</definedName>
    <definedName name="ď">#N/A</definedName>
    <definedName name="DATA">#REF!</definedName>
    <definedName name="DATE">#REF!</definedName>
    <definedName name="ďď">#N/A</definedName>
    <definedName name="đđ">#N/A</definedName>
    <definedName name="đđđ">#N/A</definedName>
    <definedName name="DEC">#REF!</definedName>
    <definedName name="ďĺđâűé">#REF!</definedName>
    <definedName name="DOC">#REF!</definedName>
    <definedName name="Down_range">#REF!</definedName>
    <definedName name="dsragh">#N/A</definedName>
    <definedName name="ęĺ">#N/A</definedName>
    <definedName name="ESO_ET">#REF!</definedName>
    <definedName name="ESO_PROT">#N/A</definedName>
    <definedName name="ESOcom">#REF!</definedName>
    <definedName name="ew">#N/A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EB">#REF!</definedName>
    <definedName name="fff">#REF!</definedName>
    <definedName name="fg">#N/A</definedName>
    <definedName name="FUEL">#REF!</definedName>
    <definedName name="FUEL_ET">#REF!</definedName>
    <definedName name="FUELLIST">#REF!</definedName>
    <definedName name="GES">#REF!</definedName>
    <definedName name="GES_DATA">#REF!</definedName>
    <definedName name="GES_LIST">#REF!</definedName>
    <definedName name="GES3_DATA">#REF!</definedName>
    <definedName name="gfg">#N/A</definedName>
    <definedName name="gh">#N/A</definedName>
    <definedName name="GRES">#REF!</definedName>
    <definedName name="GRES_DATA">#REF!</definedName>
    <definedName name="GRES_LIST">#REF!</definedName>
    <definedName name="gtty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hh">#N/A</definedName>
    <definedName name="hhy">#N/A</definedName>
    <definedName name="îî">#N/A</definedName>
    <definedName name="INN">#REF!</definedName>
    <definedName name="j">#N/A</definedName>
    <definedName name="JAN">#REF!</definedName>
    <definedName name="JUL">#REF!</definedName>
    <definedName name="JUN">#REF!</definedName>
    <definedName name="k">#N/A</definedName>
    <definedName name="KOTLODERJ_LIST">[1]Справочники!$E$8:$E$9</definedName>
    <definedName name="logical">[2]TEHSHEET!$K$2:$K$3</definedName>
    <definedName name="MAR">#REF!</definedName>
    <definedName name="MAY">#REF!</definedName>
    <definedName name="MO">#REF!</definedName>
    <definedName name="MONTH">#REF!</definedName>
    <definedName name="ňđĺňčé">#REF!</definedName>
    <definedName name="nfyz">#N/A</definedName>
    <definedName name="NOM">#REF!</definedName>
    <definedName name="NOV">#REF!</definedName>
    <definedName name="NSRF">#REF!</definedName>
    <definedName name="Num">#REF!</definedName>
    <definedName name="o">#N/A</definedName>
    <definedName name="OCT">#REF!</definedName>
    <definedName name="OKTMO">#REF!</definedName>
    <definedName name="öó">#N/A</definedName>
    <definedName name="ORE">#REF!</definedName>
    <definedName name="org_3_186">#REF!</definedName>
    <definedName name="org_4_186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22" hidden="1">#REF!,#REF!,#REF!,#REF!,#REF!,#REF!</definedName>
    <definedName name="P1_SCOPE_CORR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ROT1" hidden="1">'[3]Баланс энергии'!#REF!,'[3]Баланс энергии'!#REF!,'[3]Баланс энергии'!#REF!,'[3]Баланс энергии'!#REF!,'[3]Баланс энергии'!#REF!</definedName>
    <definedName name="P1_SCOPE_PROT13" hidden="1">#REF!,#REF!,#REF!,#REF!,#REF!,#REF!,#REF!,#REF!</definedName>
    <definedName name="P1_SCOPE_PROT14" hidden="1">#REF!,#REF!,#REF!,#REF!,#REF!,#REF!,#REF!,#REF!</definedName>
    <definedName name="P1_SCOPE_PROT16" hidden="1">'[3]Транспортный налог'!$A$9:$C$16,'[3]Транспортный налог'!#REF!,'[3]Транспортный налог'!$E$9:$E$16,'[3]Транспортный налог'!#REF!,'[3]Транспортный налог'!#REF!,'[3]Транспортный налог'!#REF!</definedName>
    <definedName name="P1_SCOPE_PROT2" hidden="1">'[3]Баланс мощности'!#REF!,'[3]Баланс мощности'!#REF!,'[3]Баланс мощности'!#REF!,'[3]Баланс мощности'!#REF!,'[3]Баланс мощности'!#REF!</definedName>
    <definedName name="P1_SCOPE_PROT22" hidden="1">#REF!,#REF!,#REF!,#REF!,#REF!,#REF!,#REF!</definedName>
    <definedName name="P1_SCOPE_PROT27" hidden="1">'[3] КВЛ 2012-2014 '!#REF!,'[3] КВЛ 2012-2014 '!$B$51:$B$54,'[3] КВЛ 2012-2014 '!$A$46:$B$49,'[3] КВЛ 2012-2014 '!#REF!,'[3] КВЛ 2012-2014 '!$A$8:$B$12,'[3] КВЛ 2012-2014 '!$A$15:$B$19</definedName>
    <definedName name="P1_SCOPE_PROT34" hidden="1">#REF!,#REF!,#REF!,#REF!,#REF!,#REF!</definedName>
    <definedName name="P1_SCOPE_PROT5" hidden="1">'[3]Амортизация по уровням напр-я'!$I$19:$I$22,'[3]Амортизация по уровням напр-я'!$I$14:$I$17,'[3]Амортизация по уровням напр-я'!$D$14:$F$17</definedName>
    <definedName name="P1_SCOPE_PROT8" hidden="1">#REF!,#REF!,#REF!,#REF!</definedName>
    <definedName name="P1_SCOPE_SAVE2" hidden="1">#REF!,#REF!,#REF!,#REF!,#REF!,#REF!,#REF!</definedName>
    <definedName name="P1_SCOPE_SV_LD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0_SCOPE_FULL_LOAD" hidden="1">#REF!,#REF!,#REF!,#REF!,#REF!,#REF!</definedName>
    <definedName name="P11_SCOPE_FULL_LOAD" hidden="1">#REF!,#REF!,#REF!,#REF!,#REF!</definedName>
    <definedName name="P12_SCOPE_FULL_LOAD" hidden="1">#REF!,#REF!,#REF!,#REF!,#REF!,#REF!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4_SCOPE_FULL_LOAD" hidden="1">#REF!,#REF!,#REF!,#REF!,#REF!,#REF!</definedName>
    <definedName name="P15_SCOPE_FULL_LOAD" hidden="1">#REF!,#REF!,#REF!,#REF!,#REF!,P1_SCOPE_FULL_LOAD</definedName>
    <definedName name="P16_SCOPE_FULL_LOAD" hidden="1">#N/A</definedName>
    <definedName name="P17_SCOPE_FULL_LOAD" hidden="1">#N/A</definedName>
    <definedName name="P19_T1_Protect" hidden="1">P5_T1_Protect,P6_T1_Protect,P7_T1_Protect,P8_T1_Protect,P9_T1_Protect,P10_T1_Protect,P11_T1_Protect,P12_T1_Protect,P13_T1_Protect,P14_T1_Protect</definedName>
    <definedName name="p2_">#REF!</definedName>
    <definedName name="P2_SC22" hidden="1">#REF!,#REF!,#REF!,#REF!,#REF!,#REF!,#REF!</definedName>
    <definedName name="P2_SCOPE_CORR" hidden="1">#REF!,#REF!,#REF!,#REF!,#REF!,#REF!,#REF!,#REF!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ROT1" hidden="1">'[3]Баланс энергии'!#REF!,'[3]Баланс энергии'!#REF!,'[3]Баланс энергии'!$E$11,'[3]Баланс энергии'!$G$11:$G$12,'[3]Баланс энергии'!$D$14:$G$17</definedName>
    <definedName name="P2_SCOPE_PROT13" hidden="1">#REF!,#REF!,#REF!,#REF!,#REF!,#REF!,#REF!,#REF!</definedName>
    <definedName name="P2_SCOPE_PROT14" hidden="1">#REF!,#REF!,#REF!,#REF!,#REF!,#REF!,#REF!,#REF!</definedName>
    <definedName name="P2_SCOPE_PROT2" hidden="1">'[3]Баланс мощности'!#REF!,'[3]Баланс мощности'!#REF!,'[3]Баланс мощности'!#REF!,'[3]Баланс мощности'!#REF!,'[3]Баланс мощности'!#REF!</definedName>
    <definedName name="P2_SCOPE_PROT22" hidden="1">#REF!,#REF!,#REF!,#REF!,#REF!,#REF!</definedName>
    <definedName name="P2_SCOPE_PROT27" hidden="1">'[3] КВЛ 2012-2014 '!#REF!,'[3] КВЛ 2012-2014 '!$A$22:$B$25,'[3] КВЛ 2012-2014 '!$A$28:$B$31,'[3] КВЛ 2012-2014 '!$A$34:$B$37,'[3] КВЛ 2012-2014 '!$A$40:$B$43,'[3] КВЛ 2012-2014 '!#REF!</definedName>
    <definedName name="P2_SCOPE_PROT5" hidden="1">'[3]Амортизация по уровням напр-я'!$D$9:$F$12,'[3]Амортизация по уровням напр-я'!$I$9:$I$12,'[3]Амортизация по уровням напр-я'!$D$19:$F$22</definedName>
    <definedName name="P2_SCOPE_PROT8" hidden="1">#REF!,#REF!,#REF!,#REF!</definedName>
    <definedName name="P2_SCOPE_SAVE2" hidden="1">#REF!,#REF!,#REF!,#REF!,#REF!,#REF!</definedName>
    <definedName name="p3_">#REF!</definedName>
    <definedName name="P3_SC22" hidden="1">#REF!,#REF!,#REF!,#REF!,#REF!,#REF!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ROT1" hidden="1">'[3]Баланс энергии'!$D$19:$G$20,'[3]Баланс энергии'!$D$22:$G$24,'[3]Баланс энергии'!#REF!,'[3]Баланс энергии'!#REF!,'[3]Баланс энергии'!#REF!</definedName>
    <definedName name="P3_SCOPE_PROT14" hidden="1">#REF!,#REF!,#REF!,#REF!,#REF!,#REF!,#REF!,#REF!,#REF!</definedName>
    <definedName name="P3_SCOPE_PROT2" hidden="1">'[3]Баланс мощности'!#REF!,'[3]Баланс мощности'!#REF!,'[3]Баланс мощности'!#REF!,'[3]Баланс мощности'!#REF!,'[3]Баланс мощности'!#REF!</definedName>
    <definedName name="P3_SCOPE_PROT8" hidden="1">#REF!,#REF!,#REF!,#REF!,#REF!</definedName>
    <definedName name="p4_">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ROT1" hidden="1">'[3]Баланс энергии'!#REF!,'[3]Баланс энергии'!#REF!,'[3]Баланс энергии'!#REF!,'[3]Баланс энергии'!#REF!,'[3]Баланс энергии'!#REF!</definedName>
    <definedName name="P4_SCOPE_PROT14" hidden="1">#REF!,#REF!,#REF!,#REF!,#REF!,#REF!,#REF!,#REF!,#REF!</definedName>
    <definedName name="P4_SCOPE_PROT2" hidden="1">'[3]Баланс мощности'!#REF!,'[3]Баланс мощности'!#REF!,'[3]Баланс мощности'!#REF!,'[3]Баланс мощности'!#REF!,'[3]Баланс мощности'!#REF!</definedName>
    <definedName name="P4_SCOPE_PROT8" hidden="1">#REF!,#REF!,#REF!,#REF!,#REF!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ROT1" hidden="1">'[3]Баланс энергии'!#REF!,'[3]Баланс энергии'!#REF!,'[3]Баланс энергии'!#REF!,'[3]Баланс энергии'!#REF!,'[3]Баланс энергии'!#REF!</definedName>
    <definedName name="P5_SCOPE_PROT2" hidden="1">'[3]Баланс мощности'!#REF!,'[3]Баланс мощности'!#REF!,'[3]Баланс мощности'!#REF!,'[3]Баланс мощности'!#REF!,'[3]Баланс мощности'!#REF!</definedName>
    <definedName name="P5_SCOPE_PROT8" hidden="1">#REF!,#REF!,#REF!,#REF!,#REF!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ROT1" hidden="1">'[3]Баланс энергии'!#REF!,'[3]Баланс энергии'!#REF!,'[3]Баланс энергии'!$A$39:$B$41,'[3]Баланс энергии'!#REF!,P1_SCOPE_PROT1,P2_SCOPE_PROT1</definedName>
    <definedName name="P6_SCOPE_PROT8" hidden="1">#REF!,#REF!,#REF!,#REF!</definedName>
    <definedName name="P6_T2.1?Protection">P1_T2.1?Protection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8_SCOPE_FULL_LOAD" hidden="1">#REF!,#REF!,#REF!,#REF!,#REF!,#REF!</definedName>
    <definedName name="P8_SCOPE_NOTIND" hidden="1">#REF!,#REF!,#REF!,#REF!,#REF!,#REF!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ER_ET">#REF!</definedName>
    <definedName name="period_list">[2]TEHSHEET!$N$2:$N$6</definedName>
    <definedName name="pIns_List21_1">#REF!</definedName>
    <definedName name="pIns_List21_2">#REF!</definedName>
    <definedName name="polta">#REF!</definedName>
    <definedName name="PR_OPT">#REF!</definedName>
    <definedName name="PR_ROZN">#REF!</definedName>
    <definedName name="PROT">#REF!,#REF!,#REF!,#REF!,#REF!,#REF!</definedName>
    <definedName name="PROT_22">P3_PROT_22,P4_PROT_22,P5_PROT_22</definedName>
    <definedName name="rab_1_230">#REF!</definedName>
    <definedName name="REG_ET">#REF!</definedName>
    <definedName name="REG_PROT">#REF!,#REF!,#REF!,#REF!,#REF!,#REF!,#REF!</definedName>
    <definedName name="REGcom">#REF!</definedName>
    <definedName name="REGION">[2]TEHSHEET!$A$1:$A$84</definedName>
    <definedName name="region_name">[1]Титульный!$F$8</definedName>
    <definedName name="regions">#REF!</definedName>
    <definedName name="REGUL">#REF!</definedName>
    <definedName name="rr">#N/A</definedName>
    <definedName name="ŕŕ">#N/A</definedName>
    <definedName name="RRE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#REF!,#REF!,#REF!,#REF!,[0]!P1_SBT_PROT</definedName>
    <definedName name="SBTcom">#REF!</definedName>
    <definedName name="sch">#REF!</definedName>
    <definedName name="SCOPE">#REF!</definedName>
    <definedName name="SCOPE_1">#REF!</definedName>
    <definedName name="SCOPE_16_LD">#REF!</definedName>
    <definedName name="SCOPE_16_PRT">P1_SCOPE_16_PRT,P2_SCOPE_16_PRT</definedName>
    <definedName name="SCOPE_17.1_LD">#REF!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5_LD">#REF!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5_LD">#REF!</definedName>
    <definedName name="SCOPE_CORR">#REF!,#REF!,#REF!,#REF!,#REF!,[0]!P1_SCOPE_CORR,[0]!P2_SCOPE_CORR</definedName>
    <definedName name="SCOPE_CPR">#REF!</definedName>
    <definedName name="SCOPE_DIP1_1">'[3]Баланс энергии'!#REF!</definedName>
    <definedName name="SCOPE_DIP1_2">'[3]Баланс энергии'!#REF!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2_LD1">#REF!</definedName>
    <definedName name="SCOPE_F2_LD2">#REF!</definedName>
    <definedName name="SCOPE_FLOAD">#REF!,[0]!P1_SCOPE_FLOAD</definedName>
    <definedName name="SCOPE_FORM46_EE1">#REF!</definedName>
    <definedName name="SCOPE_FRML">#REF!,#REF!,P1_SCOPE_FRML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MNTH">[3]TEHSHEET!$E$7:$E$18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OT1">P3_SCOPE_PROT1,P4_SCOPE_PROT1,P5_SCOPE_PROT1,P6_SCOPE_PROT1</definedName>
    <definedName name="SCOPE_PROT10">#REF!,#REF!,#REF!,#REF!,#REF!,#REF!</definedName>
    <definedName name="SCOPE_PROT11">#REF!,#REF!,#REF!,#REF!</definedName>
    <definedName name="SCOPE_PROT12">#REF!,#REF!,#REF!</definedName>
    <definedName name="SCOPE_PROT13">#REF!,#REF!,P1_SCOPE_PROT13,P2_SCOPE_PROT13</definedName>
    <definedName name="SCOPE_PROT14">#REF!,#REF!,#REF!,P1_SCOPE_PROT14,P2_SCOPE_PROT14,P3_SCOPE_PROT14,P4_SCOPE_PROT14</definedName>
    <definedName name="SCOPE_PROT15">'[3]Плата за землю'!$B$7:$E$7,'[3]Плата за землю'!$A$10:$E$13</definedName>
    <definedName name="SCOPE_PROT16">'[3]Транспортный налог'!#REF!,'[3]Транспортный налог'!#REF!,'[3]Транспортный налог'!$E$19,P1_SCOPE_PROT16</definedName>
    <definedName name="SCOPE_PROT18">#REF!,#REF!,#REF!</definedName>
    <definedName name="SCOPE_PROT19">'[3]Аренда имущества'!$A$23:$E$27,'[3]Аренда имущества'!$A$8:$E$13,'[3]Аренда имущества'!$A$30:$E$33</definedName>
    <definedName name="SCOPE_PROT2">P1_SCOPE_PROT2,P2_SCOPE_PROT2,P3_SCOPE_PROT2,P4_SCOPE_PROT2,P5_SCOPE_PROT2</definedName>
    <definedName name="SCOPE_PROT20">#REF!,#REF!,#REF!,#REF!</definedName>
    <definedName name="SCOPE_PROT21">#REF!,#REF!,#REF!,#REF!,#REF!,#REF!,#REF!,#REF!</definedName>
    <definedName name="SCOPE_PROT22">#REF!,#REF!,#REF!,#REF!,P1_SCOPE_PROT22,P2_SCOPE_PROT22</definedName>
    <definedName name="SCOPE_PROT23">'[3]Прочие НР'!$C$7:$C$11,'[3]Прочие НР'!#REF!,'[3]Прочие НР'!$D$13,'[3]Прочие НР'!$B$13,'[3]Прочие НР'!$A$7:$A$11</definedName>
    <definedName name="SCOPE_PROT24">#REF!,#REF!,#REF!,#REF!,#REF!</definedName>
    <definedName name="SCOPE_PROT25">'[3]Налог на имущество'!$E$7:$E$9,'[3]Налог на имущество'!#REF!,'[3]Налог на имущество'!$D$11,'[3]Налог на имущество'!$B$12:$E$16,'[3]Налог на имущество'!#REF!</definedName>
    <definedName name="SCOPE_PROT26">'[3]Выпадающий доход'!#REF!,'[3]Выпадающий доход'!#REF!,'[3]Выпадающий доход'!#REF!,'[3]Выпадающий доход'!$A$7:$A$9,'[3]Выпадающий доход'!$E$7:$E$9</definedName>
    <definedName name="SCOPE_PROT27">'[3] КВЛ 2012-2014 '!#REF!,'[3] КВЛ 2012-2014 '!#REF!,'[3] КВЛ 2012-2014 '!#REF!,'[3] КВЛ 2012-2014 '!$A$2:$G$2,'[3] КВЛ 2012-2014 '!#REF!,P1_SCOPE_PROT27,P2_SCOPE_PROT27</definedName>
    <definedName name="SCOPE_PROT28">#REF!</definedName>
    <definedName name="SCOPE_PROT29">#REF!,#REF!,#REF!,#REF!</definedName>
    <definedName name="SCOPE_PROT3">#REF!,#REF!,#REF!</definedName>
    <definedName name="SCOPE_PROT30">#REF!</definedName>
    <definedName name="SCOPE_PROT31">#REF!</definedName>
    <definedName name="SCOPE_PROT32">#REF!,#REF!,#REF!</definedName>
    <definedName name="SCOPE_PROT33">#REF!,#REF!,#REF!,#REF!</definedName>
    <definedName name="SCOPE_PROT34">#REF!,P1_SCOPE_PROT34</definedName>
    <definedName name="SCOPE_PROT35">#REF!,#REF!,#REF!</definedName>
    <definedName name="SCOPE_PROT36">#REF!,#REF!</definedName>
    <definedName name="SCOPE_PROT37">#REF!,#REF!,#REF!</definedName>
    <definedName name="SCOPE_PROT38">#REF!,#REF!,#REF!</definedName>
    <definedName name="SCOPE_PROT4">#REF!</definedName>
    <definedName name="SCOPE_PROT5">P1_SCOPE_PROT5,P2_SCOPE_PROT5</definedName>
    <definedName name="SCOPE_PROT6">'[3]Свод по амортизации'!$E$8:$E$10,'[3]Свод по амортизации'!$C$14:$E$14,'[3]Свод по амортизации'!#REF!</definedName>
    <definedName name="SCOPE_PROT7">#REF!,#REF!,#REF!,#REF!,#REF!</definedName>
    <definedName name="SCOPE_PROT8">#REF!,P1_SCOPE_PROT8,P2_SCOPE_PROT8,P3_SCOPE_PROT8,P4_SCOPE_PROT8,P5_SCOPE_PROT8,P6_SCOPE_PROT8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S">#REF!,#REF!,#REF!,#REF!,#REF!,#REF!</definedName>
    <definedName name="SCOPE_SS2">#REF!</definedName>
    <definedName name="SCOPE_SV_LD2">#REF!</definedName>
    <definedName name="SCOPE_SV_PRT">P1_SCOPE_SV_PRT,P2_SCOPE_SV_PRT,P3_SCOPE_SV_PRT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EP">#REF!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oprMat_List21_1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T0?axis?ПРД?РЕГ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1?axis?ПРД?РЕГ">#REF!</definedName>
    <definedName name="T1?item_ext?РОСТ">#REF!</definedName>
    <definedName name="T1?L1">#REF!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Table">#REF!</definedName>
    <definedName name="T1?Title">#REF!</definedName>
    <definedName name="T1?unit?МВТ">#REF!</definedName>
    <definedName name="T1?unit?ПРЦ">#REF!</definedName>
    <definedName name="T1_">#REF!</definedName>
    <definedName name="T1_Protect">P15_T1_Protect,P16_T1_Protect,P17_T1_Protect,P18_T1_Protect,P19_T1_Protect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#REF!</definedName>
    <definedName name="T17?L8">#REF!</definedName>
    <definedName name="T17?Name">#REF!</definedName>
    <definedName name="T17?Table">#REF!</definedName>
    <definedName name="T17?Title">#REF!</definedName>
    <definedName name="T17?unit?ТРУБ">#REF!</definedName>
    <definedName name="T17?unit?ЧДН">#REF!</definedName>
    <definedName name="T17?unit?ЧЕЛ">#REF!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[0]!P6_T2.1?Protection</definedName>
    <definedName name="T2.1_Protect">P4_T2.1_Protect,P5_T2.1_Protect,P6_T2.1_Protect,P7_T2.1_Protect</definedName>
    <definedName name="T2?axis?ПРД?РЕГ">#REF!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21.2.1?Data">P1_T21.2.1?Data,P2_T21.2.1?Data</definedName>
    <definedName name="T21.2.2?Data">P1_T21.2.2?Data,P2_T21.2.2?Data</definedName>
    <definedName name="T21.3?Columns">#REF!</definedName>
    <definedName name="T21.3?ItemComments">#REF!</definedName>
    <definedName name="T21.3?Items">#REF!</definedName>
    <definedName name="T21.3?Scope">#REF!</definedName>
    <definedName name="T21.4?Data">P1_T21.4?Data,P2_T21.4?Data</definedName>
    <definedName name="T21?axis?R?ДОГОВОР">#REF!</definedName>
    <definedName name="T21?axis?R?ДОГОВОР?">#REF!</definedName>
    <definedName name="T21?axis?ПРД?РЕГ">#REF!</definedName>
    <definedName name="T21?item_ext?РОСТ">#REF!</definedName>
    <definedName name="T21?L1">#REF!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7?axis?ПРД?РЕГ">#REF!</definedName>
    <definedName name="T27?Data">#REF!</definedName>
    <definedName name="T27?item_ext?РОСТ">#REF!</definedName>
    <definedName name="T27?L1">#REF!</definedName>
    <definedName name="T27?L2">#REF!</definedName>
    <definedName name="T27?L3">#REF!</definedName>
    <definedName name="T27?L4">#REF!</definedName>
    <definedName name="T27?L5">#REF!</definedName>
    <definedName name="T27?L6">#REF!</definedName>
    <definedName name="T27?Name">#REF!</definedName>
    <definedName name="T27?Table">#REF!</definedName>
    <definedName name="T27?Title">#REF!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3?axis?ПРД?РЕГ">#REF!</definedName>
    <definedName name="T3?Data">#REF!</definedName>
    <definedName name="T3?item_ext?РОСТ">#REF!</definedName>
    <definedName name="T3?L1">#REF!</definedName>
    <definedName name="T3?L1.1">#REF!</definedName>
    <definedName name="T3?L1.4.1">#REF!</definedName>
    <definedName name="T3?L1.5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ПРД?РЕГ">#REF!</definedName>
    <definedName name="T4?item_ext?РОСТ">#REF!</definedName>
    <definedName name="T4?L1">#REF!</definedName>
    <definedName name="T4?L1.1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le">#REF!</definedName>
    <definedName name="TEMP">#REF!,#REF!</definedName>
    <definedName name="TES">#REF!</definedName>
    <definedName name="TES_DATA">#REF!</definedName>
    <definedName name="TES_LIST">#REF!</definedName>
    <definedName name="TTT">#REF!</definedName>
    <definedName name="upr">#N/A</definedName>
    <definedName name="ůůů">#N/A</definedName>
    <definedName name="VDOC">#REF!</definedName>
    <definedName name="version">[1]Инструкция!$B$3</definedName>
    <definedName name="VV">#N/A</definedName>
    <definedName name="vvvv" hidden="1">#REF!,#REF!,#REF!,#REF!,#REF!,#REF!,#REF!,#REF!</definedName>
    <definedName name="we">#N/A</definedName>
    <definedName name="WorkRange_21_1">#REF!</definedName>
    <definedName name="WorkRange_21_1_1">#REF!</definedName>
    <definedName name="WorkRange_21_1_2">#REF!</definedName>
    <definedName name="WorkRange_21_1_3">#REF!</definedName>
    <definedName name="WorkRange_21_1_4">#REF!</definedName>
    <definedName name="wrn.Сравнение._.с._.отраслями." hidden="1">{#N/A,#N/A,TRUE,"Лист1";#N/A,#N/A,TRUE,"Лист2";#N/A,#N/A,TRUE,"Лист3"}</definedName>
    <definedName name="YEAR">#REF!</definedName>
    <definedName name="Z_0C843942_D575_41C8_B9DD_35A2FD9DF8D8_.wvu.Cols" localSheetId="33" hidden="1">'Форма 2'!$C:$H,'Форма 2'!#REF!,'Форма 2'!#REF!,'Форма 2'!#REF!</definedName>
    <definedName name="Z_7504E81A_39E7_4374_8D8F_2AE8FE7EA102_.wvu.Cols" localSheetId="33" hidden="1">'Форма 2'!$C:$C,'Форма 2'!$D:$D,'Форма 2'!#REF!,'Форма 2'!#REF!,'Форма 2'!#REF!</definedName>
    <definedName name="Z_8DCECFC0_2253_4C30_B04C_90AFA49DBCFA_.wvu.Cols" localSheetId="33" hidden="1">'Форма 2'!#REF!,'Форма 2'!#REF!,'Форма 2'!#REF!</definedName>
    <definedName name="ZERO">#REF!</definedName>
    <definedName name="а1">#REF!</definedName>
    <definedName name="А8">#REF!</definedName>
    <definedName name="аа">#N/A</definedName>
    <definedName name="АААААААА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_xlnm.Database">#REF!</definedName>
    <definedName name="БазовыйПериод">[4]Заголовок!$B$15</definedName>
    <definedName name="бб">#N/A</definedName>
    <definedName name="в">#N/A</definedName>
    <definedName name="в23ё">#N/A</definedName>
    <definedName name="вап">#N/A</definedName>
    <definedName name="Вар.их">#N/A</definedName>
    <definedName name="Вар.КАЛМЭ">#N/A</definedName>
    <definedName name="вв">#N/A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ртт">#N/A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гнлзщ">#N/A</definedName>
    <definedName name="грприрцфв00ав98" hidden="1">{#N/A,#N/A,TRUE,"Лист1";#N/A,#N/A,TRUE,"Лист2";#N/A,#N/A,TRUE,"Лист3"}</definedName>
    <definedName name="Группы">#REF!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ма">#REF!</definedName>
    <definedName name="Долгосрочн">[0]!Долгосрочн</definedName>
    <definedName name="доопатмо">#N/A</definedName>
    <definedName name="Дополнение">#N/A</definedName>
    <definedName name="еще">#N/A</definedName>
    <definedName name="ж">#N/A</definedName>
    <definedName name="жд">#N/A</definedName>
    <definedName name="з4">#REF!</definedName>
    <definedName name="_xlnm.Print_Titles" localSheetId="20">'Транс. налог'!$3:$4</definedName>
    <definedName name="ЗП1">[5]Лист13!$A$2</definedName>
    <definedName name="ЗП2">[5]Лист13!$B$2</definedName>
    <definedName name="ЗП3">[5]Лист13!$C$2</definedName>
    <definedName name="ЗП4">[5]Лист13!$D$2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й">#N/A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фц">#N/A</definedName>
    <definedName name="йц">#N/A</definedName>
    <definedName name="йцу">#N/A</definedName>
    <definedName name="К1">#REF!</definedName>
    <definedName name="к2">#REF!</definedName>
    <definedName name="к3">#REF!</definedName>
    <definedName name="ке">#N/A</definedName>
    <definedName name="кеппппппппппп" hidden="1">{#N/A,#N/A,TRUE,"Лист1";#N/A,#N/A,TRUE,"Лист2";#N/A,#N/A,TRUE,"Лист3"}</definedName>
    <definedName name="компенсация">#N/A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#REF!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#N/A</definedName>
    <definedName name="лор">#N/A</definedName>
    <definedName name="лщжо" hidden="1">{#N/A,#N/A,TRUE,"Лист1";#N/A,#N/A,TRUE,"Лист2";#N/A,#N/A,TRUE,"Лист3"}</definedName>
    <definedName name="м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м">#N/A</definedName>
    <definedName name="ммм">#N/A</definedName>
    <definedName name="мммм">#N/A</definedName>
    <definedName name="мммммммм">#N/A</definedName>
    <definedName name="МР">#REF!</definedName>
    <definedName name="мым">#N/A</definedName>
    <definedName name="название">#REF!</definedName>
    <definedName name="нгг">#N/A</definedName>
    <definedName name="ноя">#REF!</definedName>
    <definedName name="ноя2">#REF!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_xlnm.Print_Area" localSheetId="5">'1.4'!$A$1:$Q$107</definedName>
    <definedName name="_xlnm.Print_Area" localSheetId="6">'1.5'!$A$1:$Q$90</definedName>
    <definedName name="_xlnm.Print_Area" localSheetId="3">'2.1'!$A$1:$AE$49</definedName>
    <definedName name="_xlnm.Print_Area" localSheetId="4">'2.2'!$A$3:$AE$38</definedName>
    <definedName name="_xlnm.Print_Area" localSheetId="24">Аммортизация!$A$1:$L$40</definedName>
    <definedName name="_xlnm.Print_Area" localSheetId="16">'Аренда имущества'!$A$1:$U$87</definedName>
    <definedName name="_xlnm.Print_Area" localSheetId="13">'Другие прочие и подконтрольные '!$A$1:$F$26</definedName>
    <definedName name="_xlnm.Print_Area" localSheetId="10">'Затраты на ремонт'!$A$1:$H$175</definedName>
    <definedName name="_xlnm.Print_Area" localSheetId="1">Заявление!$A$1:$L$50</definedName>
    <definedName name="_xlnm.Print_Area" localSheetId="19">'Налог на имущество'!$A$1:$F$15</definedName>
    <definedName name="_xlnm.Print_Area" localSheetId="11">'Оплата труда'!$A$1:$R$41</definedName>
    <definedName name="_xlnm.Print_Area" localSheetId="14">'Оплата услуг ФСК'!$A$1:$I$18</definedName>
    <definedName name="_xlnm.Print_Area" localSheetId="18">'Плата за землю'!$A$1:$I$29</definedName>
    <definedName name="_xlnm.Print_Area" localSheetId="9">'Раб. и усл. произ. хар-ра'!$A$1:$G$21</definedName>
    <definedName name="_xlnm.Print_Area" localSheetId="2">'Реквизиты организации'!$A$1:$G$35</definedName>
    <definedName name="_xlnm.Print_Area" localSheetId="7">'Свод долгосрочный '!$A$1:$P$208</definedName>
    <definedName name="_xlnm.Print_Area" localSheetId="15">'Содержание зданий'!$A$1:$H$37</definedName>
    <definedName name="_xlnm.Print_Area" localSheetId="8">'Сырье и материалы'!$A$1:$G$25</definedName>
    <definedName name="_xlnm.Print_Area" localSheetId="20">'Транс. налог'!$A$1:$M$34</definedName>
    <definedName name="_xlnm.Print_Area" localSheetId="12">'Числ. и разряд'!$A$1:$I$52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Г">#REF!</definedName>
    <definedName name="ОРГАНИЗАЦИЯ">#REF!</definedName>
    <definedName name="отпуск">#N/A</definedName>
    <definedName name="ОтпускЭлектроэнергииИтогоБаз">'[4]6'!$C$15</definedName>
    <definedName name="ОтпускЭлектроэнергииИтогоРег">'[4]6'!$C$24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ервый">#REF!</definedName>
    <definedName name="ПериодРегулирования">[4]Заголовок!$B$14</definedName>
    <definedName name="план56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л_нас_нн">#REF!</definedName>
    <definedName name="пппп">#N/A</definedName>
    <definedName name="пр">#N/A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ш_год">#REF!</definedName>
    <definedName name="пс">#REF!</definedName>
    <definedName name="рис1" hidden="1">{#N/A,#N/A,TRUE,"Лист1";#N/A,#N/A,TRUE,"Лист2";#N/A,#N/A,TRUE,"Лист3"}</definedName>
    <definedName name="рсср">#N/A</definedName>
    <definedName name="с">#N/A</definedName>
    <definedName name="с1">#N/A</definedName>
    <definedName name="сваеррта">#N/A</definedName>
    <definedName name="свмпвппв">#N/A</definedName>
    <definedName name="себестоимость2">#N/A</definedName>
    <definedName name="семь">#REF!</definedName>
    <definedName name="сен">#REF!</definedName>
    <definedName name="сен2">#REF!</definedName>
    <definedName name="ск">#N/A</definedName>
    <definedName name="сокращение">#N/A</definedName>
    <definedName name="сомп">#N/A</definedName>
    <definedName name="сомпас">#N/A</definedName>
    <definedName name="сс">#N/A</definedName>
    <definedName name="сссс">#N/A</definedName>
    <definedName name="сссссссссс">#REF!</definedName>
    <definedName name="ссссссссссс">#N/A</definedName>
    <definedName name="ссссссссссссс">#N/A</definedName>
    <definedName name="ссссссссссссссс">#N/A</definedName>
    <definedName name="сссссссссссссссс">#N/A</definedName>
    <definedName name="ссссссссссссссссс">#N/A</definedName>
    <definedName name="ссссссссссссссссссс">#N/A</definedName>
    <definedName name="ссссссссссссссссссссс">#N/A</definedName>
    <definedName name="сссссссссссссссссссссс">#N/A</definedName>
    <definedName name="ссы">#N/A</definedName>
    <definedName name="ссы2">#N/A</definedName>
    <definedName name="Статья">#REF!</definedName>
    <definedName name="Т7_тепло" localSheetId="6">'1.5'!Т7_тепло</definedName>
    <definedName name="Т7_тепло">'1.5'!Т7_тепло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ТЭП2" hidden="1">{#N/A,#N/A,TRUE,"Лист1";#N/A,#N/A,TRUE,"Лист2";#N/A,#N/A,TRUE,"Лист3"}</definedName>
    <definedName name="у">#N/A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#N/A</definedName>
    <definedName name="УФ">#N/A</definedName>
    <definedName name="уыукпе">#N/A</definedName>
    <definedName name="фам">#N/A</definedName>
    <definedName name="фев">#REF!</definedName>
    <definedName name="фев2">#REF!</definedName>
    <definedName name="Форма">#N/A</definedName>
    <definedName name="фыаспит">#N/A</definedName>
    <definedName name="ц">#N/A</definedName>
    <definedName name="ц1">#N/A</definedName>
    <definedName name="ЦП1">#REF!</definedName>
    <definedName name="ЦП2">#REF!</definedName>
    <definedName name="ЦП3">#REF!</definedName>
    <definedName name="ЦП4">#REF!</definedName>
    <definedName name="цу">#N/A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щ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ю">#N/A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24519"/>
</workbook>
</file>

<file path=xl/calcChain.xml><?xml version="1.0" encoding="utf-8"?>
<calcChain xmlns="http://schemas.openxmlformats.org/spreadsheetml/2006/main">
  <c r="R108" i="43"/>
  <c r="AB128" l="1"/>
  <c r="AB127"/>
  <c r="AB126"/>
  <c r="AB123"/>
  <c r="AB122"/>
  <c r="AB118"/>
  <c r="AB117"/>
  <c r="AC104"/>
  <c r="AC103"/>
  <c r="AC102"/>
  <c r="AB104"/>
  <c r="AB103"/>
  <c r="Z102"/>
  <c r="Z104"/>
  <c r="Z103"/>
  <c r="V31" i="59" l="1"/>
  <c r="V45" s="1"/>
  <c r="M50" i="43" s="1"/>
  <c r="L5" i="59"/>
  <c r="L45" s="1"/>
  <c r="H50" i="43" s="1"/>
  <c r="I8" i="45"/>
  <c r="U52" i="18"/>
  <c r="U51"/>
  <c r="U50"/>
  <c r="B44" i="61" l="1"/>
  <c r="M58" i="43" l="1"/>
  <c r="R24" i="47"/>
  <c r="R23"/>
  <c r="R22"/>
  <c r="R21"/>
  <c r="R20"/>
  <c r="R19"/>
  <c r="R18"/>
  <c r="R17"/>
  <c r="R16"/>
  <c r="R15"/>
  <c r="R14"/>
  <c r="R13"/>
  <c r="R12"/>
  <c r="R11"/>
  <c r="R10"/>
  <c r="R9"/>
  <c r="R8"/>
  <c r="R7"/>
  <c r="R6"/>
  <c r="D8" i="45"/>
  <c r="C27"/>
  <c r="B29"/>
  <c r="I22"/>
  <c r="D29"/>
  <c r="I29" s="1"/>
  <c r="N4"/>
  <c r="I52" i="61"/>
  <c r="B64" l="1"/>
  <c r="B63"/>
  <c r="B62"/>
  <c r="B61"/>
  <c r="B60"/>
  <c r="B59"/>
  <c r="B58"/>
  <c r="B57"/>
  <c r="B56"/>
  <c r="B55"/>
  <c r="B54"/>
  <c r="B53"/>
  <c r="B52"/>
  <c r="I132" i="43"/>
  <c r="B43" i="61"/>
  <c r="B42"/>
  <c r="B41"/>
  <c r="C63"/>
  <c r="C62"/>
  <c r="C61"/>
  <c r="C60"/>
  <c r="C59"/>
  <c r="C58"/>
  <c r="C57"/>
  <c r="C56"/>
  <c r="C55"/>
  <c r="C54"/>
  <c r="C53"/>
  <c r="C52"/>
  <c r="G51"/>
  <c r="G50"/>
  <c r="G49"/>
  <c r="G48"/>
  <c r="G47"/>
  <c r="G46"/>
  <c r="G45"/>
  <c r="G44"/>
  <c r="G43"/>
  <c r="G42"/>
  <c r="G41"/>
  <c r="G40"/>
  <c r="F52"/>
  <c r="F51"/>
  <c r="F50"/>
  <c r="F49"/>
  <c r="F48"/>
  <c r="F47"/>
  <c r="F46"/>
  <c r="F45"/>
  <c r="F44"/>
  <c r="F43"/>
  <c r="F42"/>
  <c r="F41"/>
  <c r="F40"/>
  <c r="G52" l="1"/>
  <c r="C64"/>
  <c r="B40"/>
  <c r="D64" l="1"/>
  <c r="B45"/>
  <c r="B46" s="1"/>
  <c r="B47" l="1"/>
  <c r="M76" i="43" s="1"/>
  <c r="H146"/>
  <c r="H132" s="1"/>
  <c r="H61"/>
  <c r="E22" i="63" l="1"/>
  <c r="M63" i="43" l="1"/>
  <c r="M52"/>
  <c r="H48"/>
  <c r="M61"/>
  <c r="H58"/>
  <c r="C6" i="45"/>
  <c r="C7"/>
  <c r="D27"/>
  <c r="D21"/>
  <c r="D7"/>
  <c r="H49" i="43" l="1"/>
  <c r="D6" i="45"/>
  <c r="H23" i="43" l="1"/>
  <c r="H52"/>
  <c r="H51" s="1"/>
  <c r="H44" s="1"/>
  <c r="N6" i="46"/>
  <c r="E6" s="1"/>
  <c r="J8" l="1"/>
  <c r="I8"/>
  <c r="J6"/>
  <c r="G11" i="47"/>
  <c r="O34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P18"/>
  <c r="P17"/>
  <c r="N24"/>
  <c r="N23"/>
  <c r="N22"/>
  <c r="N21"/>
  <c r="N20"/>
  <c r="N19"/>
  <c r="N16"/>
  <c r="N15"/>
  <c r="N14"/>
  <c r="N13"/>
  <c r="N12"/>
  <c r="N11"/>
  <c r="N10"/>
  <c r="N9"/>
  <c r="N8"/>
  <c r="N7"/>
  <c r="N6"/>
  <c r="G34" l="1"/>
  <c r="P24"/>
  <c r="P23"/>
  <c r="P22"/>
  <c r="P21"/>
  <c r="P20"/>
  <c r="P19"/>
  <c r="P16"/>
  <c r="P15"/>
  <c r="P14"/>
  <c r="P13"/>
  <c r="P12"/>
  <c r="P11"/>
  <c r="P34" s="1"/>
  <c r="P10"/>
  <c r="P9"/>
  <c r="P8"/>
  <c r="P7"/>
  <c r="P6"/>
  <c r="G24"/>
  <c r="G23"/>
  <c r="G22"/>
  <c r="G21"/>
  <c r="G20"/>
  <c r="G19"/>
  <c r="G18"/>
  <c r="G17"/>
  <c r="G16"/>
  <c r="G15"/>
  <c r="G14"/>
  <c r="G13"/>
  <c r="G12"/>
  <c r="G10"/>
  <c r="G9"/>
  <c r="G8"/>
  <c r="G7"/>
  <c r="G6"/>
  <c r="E16" i="63"/>
  <c r="E8"/>
  <c r="C30" i="61"/>
  <c r="C29"/>
  <c r="C28"/>
  <c r="C27"/>
  <c r="C26"/>
  <c r="C25"/>
  <c r="C24"/>
  <c r="C22"/>
  <c r="C23"/>
  <c r="C21"/>
  <c r="C20"/>
  <c r="C19"/>
  <c r="G31"/>
  <c r="F20" l="1"/>
  <c r="F30"/>
  <c r="F29"/>
  <c r="F28"/>
  <c r="F27"/>
  <c r="F26"/>
  <c r="F25"/>
  <c r="F24"/>
  <c r="F23"/>
  <c r="F22"/>
  <c r="F21"/>
  <c r="F19"/>
  <c r="H124" i="43" l="1"/>
  <c r="E124"/>
  <c r="U47" i="18" l="1"/>
  <c r="U46"/>
  <c r="U45"/>
  <c r="U40"/>
  <c r="U38"/>
  <c r="U37"/>
  <c r="I46"/>
  <c r="I38"/>
  <c r="G8" i="63"/>
  <c r="F22" l="1"/>
  <c r="F16"/>
  <c r="F14"/>
  <c r="F10"/>
  <c r="F8"/>
  <c r="E14"/>
  <c r="E15" s="1"/>
  <c r="E10"/>
  <c r="D22"/>
  <c r="D14"/>
  <c r="D10"/>
  <c r="D8"/>
  <c r="D5"/>
  <c r="E5" l="1"/>
  <c r="F5"/>
  <c r="G5"/>
  <c r="E9" i="55"/>
  <c r="H30" i="61"/>
  <c r="H29"/>
  <c r="H28"/>
  <c r="H27"/>
  <c r="H26"/>
  <c r="H25"/>
  <c r="H24"/>
  <c r="H23"/>
  <c r="H22"/>
  <c r="H21"/>
  <c r="H20"/>
  <c r="F18" i="60"/>
  <c r="F17"/>
  <c r="F16"/>
  <c r="F15"/>
  <c r="F14"/>
  <c r="F13"/>
  <c r="F11"/>
  <c r="F10"/>
  <c r="F9"/>
  <c r="F8"/>
  <c r="D19"/>
  <c r="C18"/>
  <c r="C17"/>
  <c r="C16"/>
  <c r="C15"/>
  <c r="C14"/>
  <c r="C13"/>
  <c r="C11"/>
  <c r="C10"/>
  <c r="I174" i="43"/>
  <c r="I175"/>
  <c r="I176"/>
  <c r="I177"/>
  <c r="C9" i="60"/>
  <c r="C8"/>
  <c r="E7" i="69"/>
  <c r="E6"/>
  <c r="E5"/>
  <c r="H27" i="45"/>
  <c r="I27"/>
  <c r="I21"/>
  <c r="H21"/>
  <c r="I15"/>
  <c r="H15"/>
  <c r="H7"/>
  <c r="I7"/>
  <c r="M48" i="43" s="1"/>
  <c r="N48" s="1"/>
  <c r="O48" s="1"/>
  <c r="P48" s="1"/>
  <c r="J45" i="18"/>
  <c r="J34" i="19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36" s="1"/>
  <c r="J9"/>
  <c r="J8"/>
  <c r="J47" i="18"/>
  <c r="J46"/>
  <c r="J44"/>
  <c r="J40"/>
  <c r="J39"/>
  <c r="J38"/>
  <c r="J37"/>
  <c r="J36"/>
  <c r="J35"/>
  <c r="J34"/>
  <c r="J42" s="1"/>
  <c r="J33"/>
  <c r="J32"/>
  <c r="J31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30" s="1"/>
  <c r="M49" i="43" l="1"/>
  <c r="I6" i="45"/>
  <c r="C19" i="60"/>
  <c r="F19"/>
  <c r="H6" i="45"/>
  <c r="J43" i="18"/>
  <c r="J41" s="1"/>
  <c r="J35" i="19"/>
  <c r="H11" i="43"/>
  <c r="J48" i="18"/>
  <c r="H13" i="43" s="1"/>
  <c r="J49" i="18" l="1"/>
  <c r="J37" i="19"/>
  <c r="H12" i="43" s="1"/>
  <c r="H10"/>
  <c r="H9" l="1"/>
  <c r="E10" i="69" s="1"/>
  <c r="E132" i="43" l="1"/>
  <c r="E126"/>
  <c r="D16" i="63" s="1"/>
  <c r="E125" i="43"/>
  <c r="E146"/>
  <c r="E129" l="1"/>
  <c r="N61" l="1"/>
  <c r="O61" s="1"/>
  <c r="P61" s="1"/>
  <c r="E25" i="65"/>
  <c r="E24"/>
  <c r="N50" i="43"/>
  <c r="O50" s="1"/>
  <c r="P50" s="1"/>
  <c r="D7" i="75" l="1"/>
  <c r="J169" i="4" l="1"/>
  <c r="J130"/>
  <c r="J80"/>
  <c r="J35"/>
  <c r="J6"/>
  <c r="B12" i="65" l="1"/>
  <c r="B11"/>
  <c r="F7" i="75"/>
  <c r="E48" i="43"/>
  <c r="B10" i="65"/>
  <c r="B9"/>
  <c r="E33" i="43"/>
  <c r="E31"/>
  <c r="E38" l="1"/>
  <c r="G133" i="4" l="1"/>
  <c r="G17" i="66" l="1"/>
  <c r="G16"/>
  <c r="G15"/>
  <c r="G21" l="1"/>
  <c r="G20"/>
  <c r="G19"/>
  <c r="G12" l="1"/>
  <c r="G7"/>
  <c r="G6"/>
  <c r="J31" i="59" l="1"/>
  <c r="E36" i="66"/>
  <c r="E35"/>
  <c r="E34"/>
  <c r="E33"/>
  <c r="C42"/>
  <c r="E42" s="1"/>
  <c r="H38"/>
  <c r="F6" i="64"/>
  <c r="G132" i="4"/>
  <c r="J45" i="59" l="1"/>
  <c r="E50" i="43" s="1"/>
  <c r="C25" i="66"/>
  <c r="N63" i="43" l="1"/>
  <c r="O63" s="1"/>
  <c r="P63" s="1"/>
  <c r="E63"/>
  <c r="E44" s="1"/>
  <c r="E48" i="66" l="1"/>
  <c r="C22"/>
  <c r="C20" s="1"/>
  <c r="E20" s="1"/>
  <c r="H20" s="1"/>
  <c r="C21"/>
  <c r="C19" s="1"/>
  <c r="E19" s="1"/>
  <c r="H19" s="1"/>
  <c r="O38" i="19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R46" i="18"/>
  <c r="S46" s="1"/>
  <c r="R38"/>
  <c r="C6" i="66" s="1"/>
  <c r="S44" i="18"/>
  <c r="S39"/>
  <c r="S36"/>
  <c r="S35"/>
  <c r="S34"/>
  <c r="S33"/>
  <c r="S32"/>
  <c r="S31"/>
  <c r="S42" s="1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30" s="1"/>
  <c r="F46"/>
  <c r="F38"/>
  <c r="F47"/>
  <c r="R47" s="1"/>
  <c r="F40"/>
  <c r="R40" s="1"/>
  <c r="S40" s="1"/>
  <c r="F45"/>
  <c r="R45" s="1"/>
  <c r="F37"/>
  <c r="R37" s="1"/>
  <c r="R50" s="1"/>
  <c r="R51" l="1"/>
  <c r="R52" s="1"/>
  <c r="P36" i="19"/>
  <c r="P35"/>
  <c r="P37" s="1"/>
  <c r="S47" i="18"/>
  <c r="C13" i="66"/>
  <c r="X47" i="18"/>
  <c r="AA47" s="1"/>
  <c r="AD47" s="1"/>
  <c r="X37"/>
  <c r="AA37" s="1"/>
  <c r="AD37" s="1"/>
  <c r="C7" i="66"/>
  <c r="X45" i="18"/>
  <c r="AA45" s="1"/>
  <c r="AD45" s="1"/>
  <c r="C8" i="66"/>
  <c r="X38" i="18"/>
  <c r="AA38" s="1"/>
  <c r="AD38" s="1"/>
  <c r="X40"/>
  <c r="AA40" s="1"/>
  <c r="AD40" s="1"/>
  <c r="C9" i="66"/>
  <c r="X46" i="18"/>
  <c r="AA46" s="1"/>
  <c r="AD46" s="1"/>
  <c r="C12" i="66"/>
  <c r="S38" i="18"/>
  <c r="S37"/>
  <c r="S45"/>
  <c r="S48" l="1"/>
  <c r="S43"/>
  <c r="S41" l="1"/>
  <c r="S49" s="1"/>
  <c r="E18" i="60"/>
  <c r="G18"/>
  <c r="E61" i="43"/>
  <c r="C6" i="46"/>
  <c r="E52" i="43" s="1"/>
  <c r="H6" i="46" l="1"/>
  <c r="X33" i="19"/>
  <c r="AA33" s="1"/>
  <c r="AD33" s="1"/>
  <c r="X32"/>
  <c r="AA32" s="1"/>
  <c r="AD32" s="1"/>
  <c r="X31"/>
  <c r="AA31" s="1"/>
  <c r="AD31" s="1"/>
  <c r="X26"/>
  <c r="AA26" s="1"/>
  <c r="AD26" s="1"/>
  <c r="X22"/>
  <c r="AA22" s="1"/>
  <c r="AD22" s="1"/>
  <c r="R38"/>
  <c r="F38"/>
  <c r="J49" i="43" l="1"/>
  <c r="N103"/>
  <c r="H19" i="61" l="1"/>
  <c r="B2" i="43" l="1"/>
  <c r="A1" i="72" s="1"/>
  <c r="A1" i="73" s="1"/>
  <c r="K28" i="74"/>
  <c r="K29" s="1"/>
  <c r="K30" s="1"/>
  <c r="K31" s="1"/>
  <c r="J30"/>
  <c r="J31" s="1"/>
  <c r="A16"/>
  <c r="A27" s="1"/>
  <c r="A36" s="1"/>
  <c r="N53" i="43"/>
  <c r="O53"/>
  <c r="P53"/>
  <c r="T5" i="59"/>
  <c r="F29" i="45"/>
  <c r="N49" i="43" s="1"/>
  <c r="O49" s="1"/>
  <c r="P49" s="1"/>
  <c r="R44" i="59"/>
  <c r="P44"/>
  <c r="R43"/>
  <c r="P43"/>
  <c r="R41"/>
  <c r="P41"/>
  <c r="R40"/>
  <c r="P40"/>
  <c r="I39"/>
  <c r="S39"/>
  <c r="R38"/>
  <c r="P38"/>
  <c r="R37"/>
  <c r="P37"/>
  <c r="R36"/>
  <c r="P36"/>
  <c r="R35"/>
  <c r="P35"/>
  <c r="R34"/>
  <c r="P34"/>
  <c r="R33"/>
  <c r="P33"/>
  <c r="R32"/>
  <c r="P32"/>
  <c r="F18" i="55"/>
  <c r="F17"/>
  <c r="S44" i="59" l="1"/>
  <c r="S32"/>
  <c r="S36"/>
  <c r="S34"/>
  <c r="I36"/>
  <c r="S38"/>
  <c r="S40"/>
  <c r="I44"/>
  <c r="I34"/>
  <c r="I38"/>
  <c r="I40"/>
  <c r="S33"/>
  <c r="I33"/>
  <c r="S35"/>
  <c r="I35"/>
  <c r="S37"/>
  <c r="I37"/>
  <c r="S41"/>
  <c r="I41"/>
  <c r="S43"/>
  <c r="I32" l="1"/>
  <c r="I43"/>
  <c r="C13" i="43" l="1"/>
  <c r="C12"/>
  <c r="D108"/>
  <c r="F8" i="45"/>
  <c r="Q47" i="81"/>
  <c r="P47"/>
  <c r="O47"/>
  <c r="N47"/>
  <c r="M47"/>
  <c r="L47"/>
  <c r="K47"/>
  <c r="J47"/>
  <c r="I47"/>
  <c r="H47"/>
  <c r="G47"/>
  <c r="F47"/>
  <c r="E47"/>
  <c r="D47"/>
  <c r="R46"/>
  <c r="Q46"/>
  <c r="M46"/>
  <c r="I46"/>
  <c r="S43"/>
  <c r="R43"/>
  <c r="R42"/>
  <c r="S41"/>
  <c r="R41"/>
  <c r="S40"/>
  <c r="R40"/>
  <c r="S39"/>
  <c r="R39"/>
  <c r="S38"/>
  <c r="R38"/>
  <c r="S37"/>
  <c r="R37"/>
  <c r="S36"/>
  <c r="R36"/>
  <c r="S35"/>
  <c r="R35"/>
  <c r="S34"/>
  <c r="R34"/>
  <c r="S33"/>
  <c r="R33"/>
  <c r="S32"/>
  <c r="R32"/>
  <c r="S31"/>
  <c r="R31"/>
  <c r="S30"/>
  <c r="R30"/>
  <c r="S29"/>
  <c r="R29"/>
  <c r="S28"/>
  <c r="R28"/>
  <c r="S27"/>
  <c r="R27"/>
  <c r="S26"/>
  <c r="R26"/>
  <c r="S25"/>
  <c r="R25"/>
  <c r="S24"/>
  <c r="R24"/>
  <c r="S23"/>
  <c r="R23"/>
  <c r="S22"/>
  <c r="R22"/>
  <c r="S21"/>
  <c r="R21"/>
  <c r="S20"/>
  <c r="R20"/>
  <c r="S19"/>
  <c r="R19"/>
  <c r="S18"/>
  <c r="R18"/>
  <c r="S17"/>
  <c r="R17"/>
  <c r="S16"/>
  <c r="R16"/>
  <c r="S15"/>
  <c r="R15"/>
  <c r="S14"/>
  <c r="R14"/>
  <c r="S13"/>
  <c r="R13"/>
  <c r="S12"/>
  <c r="R12"/>
  <c r="S11"/>
  <c r="R11"/>
  <c r="S10"/>
  <c r="R10"/>
  <c r="S9"/>
  <c r="R9"/>
  <c r="R8"/>
  <c r="O8"/>
  <c r="K8"/>
  <c r="K3" s="1"/>
  <c r="K42" s="1"/>
  <c r="I8"/>
  <c r="I3" s="1"/>
  <c r="I42" s="1"/>
  <c r="G8"/>
  <c r="G3" s="1"/>
  <c r="G42" s="1"/>
  <c r="E8"/>
  <c r="S7"/>
  <c r="R7"/>
  <c r="S6"/>
  <c r="R6"/>
  <c r="S5"/>
  <c r="R5"/>
  <c r="S4"/>
  <c r="R4"/>
  <c r="R3"/>
  <c r="O3"/>
  <c r="O42" s="1"/>
  <c r="E3"/>
  <c r="E42" s="1"/>
  <c r="H9" i="83"/>
  <c r="D7" i="51"/>
  <c r="D6"/>
  <c r="C51" i="43"/>
  <c r="C36" i="10"/>
  <c r="C37" s="1"/>
  <c r="B36"/>
  <c r="B37" s="1"/>
  <c r="A37"/>
  <c r="F7" s="1"/>
  <c r="F9" s="1"/>
  <c r="D9"/>
  <c r="E9"/>
  <c r="R36"/>
  <c r="R37" s="1"/>
  <c r="Q36"/>
  <c r="Q37" s="1"/>
  <c r="P36"/>
  <c r="P37" s="1"/>
  <c r="O36"/>
  <c r="O37" s="1"/>
  <c r="N36"/>
  <c r="N37" s="1"/>
  <c r="M36"/>
  <c r="M37" s="1"/>
  <c r="L36"/>
  <c r="L37" s="1"/>
  <c r="K36"/>
  <c r="K37" s="1"/>
  <c r="J36"/>
  <c r="J37" s="1"/>
  <c r="I36"/>
  <c r="I37" s="1"/>
  <c r="H36"/>
  <c r="H37" s="1"/>
  <c r="G36"/>
  <c r="G37" s="1"/>
  <c r="F36"/>
  <c r="F37" s="1"/>
  <c r="E36"/>
  <c r="E37" s="1"/>
  <c r="D36"/>
  <c r="D37" s="1"/>
  <c r="E26" i="66"/>
  <c r="H33"/>
  <c r="H51"/>
  <c r="H35"/>
  <c r="S8" i="81" l="1"/>
  <c r="S47"/>
  <c r="S46"/>
  <c r="R47"/>
  <c r="S42"/>
  <c r="S3"/>
  <c r="C17" i="66"/>
  <c r="C16"/>
  <c r="C15"/>
  <c r="O47" i="18"/>
  <c r="O45"/>
  <c r="O38"/>
  <c r="C46" i="66" l="1"/>
  <c r="C45"/>
  <c r="O46" i="18"/>
  <c r="E14" i="64" l="1"/>
  <c r="B12"/>
  <c r="B11"/>
  <c r="B13" s="1"/>
  <c r="B10"/>
  <c r="B9"/>
  <c r="B8"/>
  <c r="G36" i="4" l="1"/>
  <c r="G82"/>
  <c r="F163"/>
  <c r="G163" s="1"/>
  <c r="F164"/>
  <c r="G164" s="1"/>
  <c r="F165"/>
  <c r="G165" s="1"/>
  <c r="F161"/>
  <c r="G161" s="1"/>
  <c r="G166"/>
  <c r="G162"/>
  <c r="G154"/>
  <c r="G153"/>
  <c r="G152"/>
  <c r="G151"/>
  <c r="G150"/>
  <c r="G149"/>
  <c r="G148"/>
  <c r="G147"/>
  <c r="G146"/>
  <c r="G138"/>
  <c r="G137"/>
  <c r="G136"/>
  <c r="G131"/>
  <c r="G104"/>
  <c r="G103"/>
  <c r="G102"/>
  <c r="G97"/>
  <c r="G96"/>
  <c r="G95"/>
  <c r="G94"/>
  <c r="G93"/>
  <c r="G92"/>
  <c r="G91"/>
  <c r="G90"/>
  <c r="G89"/>
  <c r="G88"/>
  <c r="G87"/>
  <c r="G86"/>
  <c r="G85"/>
  <c r="G84"/>
  <c r="G83"/>
  <c r="G81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9"/>
  <c r="G29"/>
  <c r="F140"/>
  <c r="G140" s="1"/>
  <c r="F141"/>
  <c r="G141" s="1"/>
  <c r="F142"/>
  <c r="G142" s="1"/>
  <c r="F143"/>
  <c r="G143" s="1"/>
  <c r="F144"/>
  <c r="G144" s="1"/>
  <c r="F145"/>
  <c r="G145" s="1"/>
  <c r="F139"/>
  <c r="G139" s="1"/>
  <c r="F135"/>
  <c r="G135" s="1"/>
  <c r="F134"/>
  <c r="G134" s="1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22"/>
  <c r="G122" s="1"/>
  <c r="F123"/>
  <c r="G123" s="1"/>
  <c r="F114"/>
  <c r="G114" s="1"/>
  <c r="F126"/>
  <c r="F156" s="1"/>
  <c r="G156" s="1"/>
  <c r="F125"/>
  <c r="G125" s="1"/>
  <c r="F124"/>
  <c r="G124" s="1"/>
  <c r="F106"/>
  <c r="G106" s="1"/>
  <c r="F107"/>
  <c r="G107" s="1"/>
  <c r="F108"/>
  <c r="G108" s="1"/>
  <c r="F109"/>
  <c r="G109" s="1"/>
  <c r="F110"/>
  <c r="G110" s="1"/>
  <c r="F111"/>
  <c r="G111" s="1"/>
  <c r="F112"/>
  <c r="G112" s="1"/>
  <c r="F113"/>
  <c r="G113" s="1"/>
  <c r="F105"/>
  <c r="G105" s="1"/>
  <c r="F101"/>
  <c r="G101" s="1"/>
  <c r="F31"/>
  <c r="G31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F24"/>
  <c r="G24" s="1"/>
  <c r="F25"/>
  <c r="G25" s="1"/>
  <c r="F26"/>
  <c r="G26" s="1"/>
  <c r="F27"/>
  <c r="G27" s="1"/>
  <c r="F28"/>
  <c r="G28" s="1"/>
  <c r="F30"/>
  <c r="G30" s="1"/>
  <c r="F10"/>
  <c r="G10" s="1"/>
  <c r="F8"/>
  <c r="G8" s="1"/>
  <c r="F7"/>
  <c r="G7" s="1"/>
  <c r="C108" i="43"/>
  <c r="D104"/>
  <c r="D103"/>
  <c r="D97"/>
  <c r="C97"/>
  <c r="D96"/>
  <c r="C96"/>
  <c r="G80" i="4" l="1"/>
  <c r="E10" i="64" s="1"/>
  <c r="F155" i="4"/>
  <c r="G155" s="1"/>
  <c r="G130" s="1"/>
  <c r="E12" i="64" s="1"/>
  <c r="G6" i="4"/>
  <c r="E8" i="64" s="1"/>
  <c r="G160" i="4"/>
  <c r="E13" i="64" s="1"/>
  <c r="G35" i="4"/>
  <c r="E9" i="64" s="1"/>
  <c r="G126" i="4"/>
  <c r="G100" s="1"/>
  <c r="E11" i="64" s="1"/>
  <c r="G169" i="4" l="1"/>
  <c r="E6" i="64"/>
  <c r="I6" s="1"/>
  <c r="J37" i="21"/>
  <c r="F6"/>
  <c r="G6" s="1"/>
  <c r="H6" s="1"/>
  <c r="I6" s="1"/>
  <c r="J6" s="1"/>
  <c r="K6" s="1"/>
  <c r="E25" i="47" l="1"/>
  <c r="I6"/>
  <c r="J6"/>
  <c r="I7"/>
  <c r="J7"/>
  <c r="I8"/>
  <c r="J8"/>
  <c r="I9"/>
  <c r="J9"/>
  <c r="I10"/>
  <c r="J10"/>
  <c r="I11"/>
  <c r="J11"/>
  <c r="I12"/>
  <c r="J12"/>
  <c r="I13"/>
  <c r="J13"/>
  <c r="I14"/>
  <c r="J14"/>
  <c r="I15"/>
  <c r="J15"/>
  <c r="I16"/>
  <c r="J16"/>
  <c r="I17"/>
  <c r="J17"/>
  <c r="I18"/>
  <c r="J18"/>
  <c r="I19"/>
  <c r="J19"/>
  <c r="I20"/>
  <c r="J20"/>
  <c r="I21"/>
  <c r="J21"/>
  <c r="I22"/>
  <c r="J22"/>
  <c r="I23"/>
  <c r="J23"/>
  <c r="I24"/>
  <c r="J24"/>
  <c r="K25"/>
  <c r="K26"/>
  <c r="K27"/>
  <c r="K28"/>
  <c r="K29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K24" l="1"/>
  <c r="R6" i="59" l="1"/>
  <c r="R26" l="1"/>
  <c r="R27"/>
  <c r="R28"/>
  <c r="R29"/>
  <c r="R30"/>
  <c r="R11"/>
  <c r="R12"/>
  <c r="R13"/>
  <c r="R14"/>
  <c r="R15"/>
  <c r="R16"/>
  <c r="R17"/>
  <c r="R18"/>
  <c r="R19"/>
  <c r="R20"/>
  <c r="R21"/>
  <c r="R22"/>
  <c r="R23"/>
  <c r="R24"/>
  <c r="R25"/>
  <c r="P6"/>
  <c r="D2" i="4"/>
  <c r="P30" i="59" l="1"/>
  <c r="I30" s="1"/>
  <c r="P28"/>
  <c r="I28" s="1"/>
  <c r="P26"/>
  <c r="P24"/>
  <c r="I24" s="1"/>
  <c r="P22"/>
  <c r="P20"/>
  <c r="I20" s="1"/>
  <c r="P18"/>
  <c r="I18" s="1"/>
  <c r="P16"/>
  <c r="I16" s="1"/>
  <c r="P14"/>
  <c r="P12"/>
  <c r="I12" s="1"/>
  <c r="P29"/>
  <c r="I29" s="1"/>
  <c r="P27"/>
  <c r="I27" s="1"/>
  <c r="P25"/>
  <c r="I25" s="1"/>
  <c r="P23"/>
  <c r="I23" s="1"/>
  <c r="P21"/>
  <c r="I21" s="1"/>
  <c r="P19"/>
  <c r="I19" s="1"/>
  <c r="P17"/>
  <c r="I17" s="1"/>
  <c r="P15"/>
  <c r="I15" s="1"/>
  <c r="P13"/>
  <c r="I13" s="1"/>
  <c r="P11"/>
  <c r="I11" s="1"/>
  <c r="C3" i="80"/>
  <c r="N32"/>
  <c r="O32"/>
  <c r="N34"/>
  <c r="O34"/>
  <c r="N36"/>
  <c r="O36"/>
  <c r="N37"/>
  <c r="O37"/>
  <c r="N39"/>
  <c r="O39"/>
  <c r="N40"/>
  <c r="O40"/>
  <c r="N41"/>
  <c r="O41"/>
  <c r="R129"/>
  <c r="Q129"/>
  <c r="P129"/>
  <c r="O129"/>
  <c r="N129"/>
  <c r="M129"/>
  <c r="K129"/>
  <c r="J129"/>
  <c r="I129"/>
  <c r="H129"/>
  <c r="G129"/>
  <c r="F129"/>
  <c r="T117"/>
  <c r="T116"/>
  <c r="T115"/>
  <c r="T106"/>
  <c r="T105"/>
  <c r="T104"/>
  <c r="H87"/>
  <c r="F87"/>
  <c r="M131" i="43" s="1"/>
  <c r="N131" s="1"/>
  <c r="O131" s="1"/>
  <c r="P131" s="1"/>
  <c r="H49" i="63" s="1"/>
  <c r="O79" i="80"/>
  <c r="N79"/>
  <c r="M79"/>
  <c r="L79"/>
  <c r="K79"/>
  <c r="J79"/>
  <c r="I79"/>
  <c r="H79"/>
  <c r="G79"/>
  <c r="F79"/>
  <c r="E79"/>
  <c r="D79"/>
  <c r="O78"/>
  <c r="N78"/>
  <c r="M78"/>
  <c r="L78"/>
  <c r="K78"/>
  <c r="J78"/>
  <c r="I78"/>
  <c r="H78"/>
  <c r="G78"/>
  <c r="F78"/>
  <c r="E78"/>
  <c r="E77" s="1"/>
  <c r="D78"/>
  <c r="D77" s="1"/>
  <c r="O77"/>
  <c r="N77"/>
  <c r="M77"/>
  <c r="L77"/>
  <c r="K77"/>
  <c r="J77"/>
  <c r="I77"/>
  <c r="H77"/>
  <c r="G77"/>
  <c r="F77"/>
  <c r="O74"/>
  <c r="N74"/>
  <c r="M74"/>
  <c r="L74"/>
  <c r="K74"/>
  <c r="J74"/>
  <c r="I74"/>
  <c r="H74"/>
  <c r="G74"/>
  <c r="F74"/>
  <c r="E74"/>
  <c r="D74"/>
  <c r="O71"/>
  <c r="N71"/>
  <c r="M71"/>
  <c r="L71"/>
  <c r="K71"/>
  <c r="J71"/>
  <c r="I71"/>
  <c r="H71"/>
  <c r="G71"/>
  <c r="F71"/>
  <c r="E71"/>
  <c r="D71"/>
  <c r="O68"/>
  <c r="N68"/>
  <c r="M68"/>
  <c r="L68"/>
  <c r="K68"/>
  <c r="J68"/>
  <c r="I68"/>
  <c r="H68"/>
  <c r="G68"/>
  <c r="F68"/>
  <c r="E68"/>
  <c r="D68"/>
  <c r="O65"/>
  <c r="N65"/>
  <c r="M65"/>
  <c r="L65"/>
  <c r="K65"/>
  <c r="J65"/>
  <c r="I65"/>
  <c r="H65"/>
  <c r="G65"/>
  <c r="F65"/>
  <c r="E65"/>
  <c r="D65"/>
  <c r="O60"/>
  <c r="I120" s="1"/>
  <c r="N60"/>
  <c r="M60"/>
  <c r="G120" s="1"/>
  <c r="L60"/>
  <c r="D120" s="1"/>
  <c r="K60"/>
  <c r="J60"/>
  <c r="I60"/>
  <c r="H60"/>
  <c r="G60"/>
  <c r="I110" s="1"/>
  <c r="F60"/>
  <c r="E60"/>
  <c r="G110" s="1"/>
  <c r="D60"/>
  <c r="O59"/>
  <c r="I119" s="1"/>
  <c r="N59"/>
  <c r="M59"/>
  <c r="G119" s="1"/>
  <c r="L59"/>
  <c r="D119" s="1"/>
  <c r="K59"/>
  <c r="J59"/>
  <c r="I59"/>
  <c r="H59"/>
  <c r="G59"/>
  <c r="I109" s="1"/>
  <c r="F59"/>
  <c r="E59"/>
  <c r="G109" s="1"/>
  <c r="D59"/>
  <c r="O58"/>
  <c r="I114" s="1"/>
  <c r="N58"/>
  <c r="M58"/>
  <c r="G118" s="1"/>
  <c r="L58"/>
  <c r="K58"/>
  <c r="I113" s="1"/>
  <c r="J58"/>
  <c r="I58"/>
  <c r="E114" s="1"/>
  <c r="H58"/>
  <c r="D114" s="1"/>
  <c r="G58"/>
  <c r="K109" s="1"/>
  <c r="F58"/>
  <c r="E58"/>
  <c r="D58"/>
  <c r="O55"/>
  <c r="N55"/>
  <c r="M55"/>
  <c r="L55"/>
  <c r="K55"/>
  <c r="J55"/>
  <c r="I55"/>
  <c r="H55"/>
  <c r="G55"/>
  <c r="F55"/>
  <c r="E55"/>
  <c r="D55"/>
  <c r="O52"/>
  <c r="N52"/>
  <c r="M52"/>
  <c r="L52"/>
  <c r="K52"/>
  <c r="J52"/>
  <c r="I52"/>
  <c r="H52"/>
  <c r="G52"/>
  <c r="F52"/>
  <c r="E52"/>
  <c r="D52"/>
  <c r="O49"/>
  <c r="N49"/>
  <c r="M49"/>
  <c r="L49"/>
  <c r="K49"/>
  <c r="J49"/>
  <c r="I49"/>
  <c r="H49"/>
  <c r="G49"/>
  <c r="F49"/>
  <c r="E49"/>
  <c r="D49"/>
  <c r="O46"/>
  <c r="N46"/>
  <c r="M46"/>
  <c r="L46"/>
  <c r="K46"/>
  <c r="J46"/>
  <c r="I46"/>
  <c r="H46"/>
  <c r="G46"/>
  <c r="F46"/>
  <c r="E46"/>
  <c r="D46"/>
  <c r="K38"/>
  <c r="J38"/>
  <c r="I38"/>
  <c r="H38"/>
  <c r="G38"/>
  <c r="F38"/>
  <c r="E38"/>
  <c r="D38"/>
  <c r="N38" s="1"/>
  <c r="K35"/>
  <c r="J35"/>
  <c r="I35"/>
  <c r="H35"/>
  <c r="G35"/>
  <c r="F35"/>
  <c r="E35"/>
  <c r="D35"/>
  <c r="N35" s="1"/>
  <c r="K33"/>
  <c r="J33"/>
  <c r="I33"/>
  <c r="H33"/>
  <c r="G33"/>
  <c r="F33"/>
  <c r="E33"/>
  <c r="D33"/>
  <c r="N33" s="1"/>
  <c r="K31"/>
  <c r="J31"/>
  <c r="I31"/>
  <c r="H31"/>
  <c r="G31"/>
  <c r="F31"/>
  <c r="E31"/>
  <c r="D31"/>
  <c r="N31" s="1"/>
  <c r="S26"/>
  <c r="L26"/>
  <c r="S25"/>
  <c r="L25"/>
  <c r="S24"/>
  <c r="L24"/>
  <c r="R23"/>
  <c r="R117" s="1"/>
  <c r="Q23"/>
  <c r="Q117" s="1"/>
  <c r="P23"/>
  <c r="P117" s="1"/>
  <c r="O23"/>
  <c r="O117" s="1"/>
  <c r="N23"/>
  <c r="N117" s="1"/>
  <c r="M23"/>
  <c r="M117" s="1"/>
  <c r="K23"/>
  <c r="K117" s="1"/>
  <c r="J23"/>
  <c r="J117" s="1"/>
  <c r="I23"/>
  <c r="I117" s="1"/>
  <c r="H23"/>
  <c r="G23"/>
  <c r="G117" s="1"/>
  <c r="F23"/>
  <c r="D23"/>
  <c r="D117" s="1"/>
  <c r="S21"/>
  <c r="L21"/>
  <c r="S20"/>
  <c r="L20"/>
  <c r="R19"/>
  <c r="Q19"/>
  <c r="Q116" s="1"/>
  <c r="P19"/>
  <c r="P116" s="1"/>
  <c r="O19"/>
  <c r="O116" s="1"/>
  <c r="N19"/>
  <c r="M19"/>
  <c r="M116" s="1"/>
  <c r="K19"/>
  <c r="K116" s="1"/>
  <c r="J19"/>
  <c r="J116" s="1"/>
  <c r="I19"/>
  <c r="I116" s="1"/>
  <c r="H19"/>
  <c r="H116" s="1"/>
  <c r="G19"/>
  <c r="G116" s="1"/>
  <c r="F19"/>
  <c r="F116" s="1"/>
  <c r="D19"/>
  <c r="S16"/>
  <c r="L16"/>
  <c r="S15"/>
  <c r="L15"/>
  <c r="S14"/>
  <c r="L14"/>
  <c r="R13"/>
  <c r="R106" s="1"/>
  <c r="Q13"/>
  <c r="P13"/>
  <c r="P106" s="1"/>
  <c r="O13"/>
  <c r="O106" s="1"/>
  <c r="N13"/>
  <c r="N106" s="1"/>
  <c r="M13"/>
  <c r="K13"/>
  <c r="K106" s="1"/>
  <c r="J13"/>
  <c r="J106" s="1"/>
  <c r="I13"/>
  <c r="I106" s="1"/>
  <c r="H13"/>
  <c r="H106" s="1"/>
  <c r="G13"/>
  <c r="G106" s="1"/>
  <c r="F13"/>
  <c r="D13"/>
  <c r="S11"/>
  <c r="L11"/>
  <c r="S10"/>
  <c r="L10"/>
  <c r="R9"/>
  <c r="R105" s="1"/>
  <c r="Q9"/>
  <c r="Q105" s="1"/>
  <c r="P9"/>
  <c r="P105" s="1"/>
  <c r="O9"/>
  <c r="O105" s="1"/>
  <c r="N9"/>
  <c r="N105" s="1"/>
  <c r="M9"/>
  <c r="M105" s="1"/>
  <c r="K9"/>
  <c r="K105" s="1"/>
  <c r="J9"/>
  <c r="J105" s="1"/>
  <c r="I9"/>
  <c r="H9"/>
  <c r="H105" s="1"/>
  <c r="G9"/>
  <c r="G105" s="1"/>
  <c r="F9"/>
  <c r="F105" s="1"/>
  <c r="D9"/>
  <c r="D105" s="1"/>
  <c r="Q71" i="32"/>
  <c r="Q70" s="1"/>
  <c r="P71"/>
  <c r="P70" s="1"/>
  <c r="L71"/>
  <c r="L70" s="1"/>
  <c r="K71"/>
  <c r="K70" s="1"/>
  <c r="G71"/>
  <c r="F71"/>
  <c r="Q63"/>
  <c r="M63" s="1"/>
  <c r="Q62"/>
  <c r="P62"/>
  <c r="P61" s="1"/>
  <c r="L63"/>
  <c r="L76" s="1"/>
  <c r="L62"/>
  <c r="L75" s="1"/>
  <c r="K62"/>
  <c r="G63"/>
  <c r="C63" s="1"/>
  <c r="G62"/>
  <c r="F62"/>
  <c r="P44"/>
  <c r="P43"/>
  <c r="O42"/>
  <c r="O49" s="1"/>
  <c r="K44"/>
  <c r="K43"/>
  <c r="J42"/>
  <c r="J49" s="1"/>
  <c r="F44"/>
  <c r="F43"/>
  <c r="E42"/>
  <c r="E49" s="1"/>
  <c r="F20"/>
  <c r="K20"/>
  <c r="P20"/>
  <c r="M17"/>
  <c r="M15"/>
  <c r="H17"/>
  <c r="C17"/>
  <c r="F13"/>
  <c r="P15" i="27"/>
  <c r="P13" s="1"/>
  <c r="M44"/>
  <c r="H44"/>
  <c r="C43"/>
  <c r="I45"/>
  <c r="J45"/>
  <c r="K45"/>
  <c r="L45"/>
  <c r="N45"/>
  <c r="O45"/>
  <c r="P45"/>
  <c r="Q45"/>
  <c r="D45"/>
  <c r="E45"/>
  <c r="F45"/>
  <c r="G45"/>
  <c r="C31" i="10"/>
  <c r="K11" i="84"/>
  <c r="J11"/>
  <c r="I11"/>
  <c r="D21" i="83"/>
  <c r="H20"/>
  <c r="G20"/>
  <c r="H19"/>
  <c r="G19"/>
  <c r="H18"/>
  <c r="G18"/>
  <c r="I18" s="1"/>
  <c r="H17"/>
  <c r="G17"/>
  <c r="H16"/>
  <c r="G16"/>
  <c r="H15"/>
  <c r="G15"/>
  <c r="H14"/>
  <c r="G14"/>
  <c r="H13"/>
  <c r="G13"/>
  <c r="I13" s="1"/>
  <c r="H12"/>
  <c r="G12"/>
  <c r="H11"/>
  <c r="G11"/>
  <c r="H10"/>
  <c r="G10"/>
  <c r="G9"/>
  <c r="I9" s="1"/>
  <c r="D24" i="82"/>
  <c r="H23"/>
  <c r="G23"/>
  <c r="H22"/>
  <c r="G22"/>
  <c r="I22" s="1"/>
  <c r="H21"/>
  <c r="G21"/>
  <c r="I21" s="1"/>
  <c r="H20"/>
  <c r="G20"/>
  <c r="I20" s="1"/>
  <c r="H19"/>
  <c r="G19"/>
  <c r="H18"/>
  <c r="G18"/>
  <c r="H17"/>
  <c r="G17"/>
  <c r="I17" s="1"/>
  <c r="H16"/>
  <c r="G16"/>
  <c r="I16" s="1"/>
  <c r="H15"/>
  <c r="G15"/>
  <c r="I15" s="1"/>
  <c r="H14"/>
  <c r="G14"/>
  <c r="H13"/>
  <c r="G13"/>
  <c r="H12"/>
  <c r="H24" s="1"/>
  <c r="G12"/>
  <c r="K37" i="72"/>
  <c r="K43"/>
  <c r="J37"/>
  <c r="J43"/>
  <c r="K18"/>
  <c r="J18"/>
  <c r="J8"/>
  <c r="H8"/>
  <c r="K8" s="1"/>
  <c r="H6" i="73"/>
  <c r="G5"/>
  <c r="L21" i="79"/>
  <c r="I21"/>
  <c r="F21"/>
  <c r="F20"/>
  <c r="F23" s="1"/>
  <c r="L20"/>
  <c r="I20"/>
  <c r="J11"/>
  <c r="J9"/>
  <c r="J7" s="1"/>
  <c r="L7" s="1"/>
  <c r="L23" s="1"/>
  <c r="J8"/>
  <c r="K7"/>
  <c r="K8" s="1"/>
  <c r="K9" s="1"/>
  <c r="H7"/>
  <c r="H8" s="1"/>
  <c r="G7"/>
  <c r="E10" i="50"/>
  <c r="E7"/>
  <c r="D6" i="65"/>
  <c r="C21"/>
  <c r="C6" i="75"/>
  <c r="D6"/>
  <c r="E6"/>
  <c r="F6"/>
  <c r="R29" i="43"/>
  <c r="H21" i="73"/>
  <c r="G21"/>
  <c r="F21"/>
  <c r="E21"/>
  <c r="H20"/>
  <c r="G20"/>
  <c r="F20"/>
  <c r="E20"/>
  <c r="H19"/>
  <c r="G19"/>
  <c r="F19"/>
  <c r="E19"/>
  <c r="H18"/>
  <c r="G18"/>
  <c r="F18"/>
  <c r="E18"/>
  <c r="H17"/>
  <c r="G17"/>
  <c r="F17"/>
  <c r="E17"/>
  <c r="H15"/>
  <c r="G15"/>
  <c r="E15"/>
  <c r="F15" s="1"/>
  <c r="H14"/>
  <c r="G14"/>
  <c r="E14"/>
  <c r="F14" s="1"/>
  <c r="H13"/>
  <c r="G13"/>
  <c r="F13"/>
  <c r="E13"/>
  <c r="H12"/>
  <c r="G12"/>
  <c r="F12"/>
  <c r="E12"/>
  <c r="H11"/>
  <c r="G11"/>
  <c r="F11"/>
  <c r="E11"/>
  <c r="H9"/>
  <c r="G9"/>
  <c r="F9"/>
  <c r="E9"/>
  <c r="H8"/>
  <c r="G8"/>
  <c r="E8"/>
  <c r="F8"/>
  <c r="D7"/>
  <c r="D10" s="1"/>
  <c r="D16" s="1"/>
  <c r="D22" s="1"/>
  <c r="C7"/>
  <c r="G7" s="1"/>
  <c r="G6"/>
  <c r="E6"/>
  <c r="F6" s="1"/>
  <c r="H5"/>
  <c r="E5"/>
  <c r="F5" s="1"/>
  <c r="E49" i="72"/>
  <c r="D49"/>
  <c r="C49"/>
  <c r="H48"/>
  <c r="K48" s="1"/>
  <c r="H47"/>
  <c r="J47" s="1"/>
  <c r="H46"/>
  <c r="K46" s="1"/>
  <c r="H45"/>
  <c r="J45" s="1"/>
  <c r="H44"/>
  <c r="K44" s="1"/>
  <c r="E42"/>
  <c r="D42"/>
  <c r="C42"/>
  <c r="H41"/>
  <c r="J41" s="1"/>
  <c r="H40"/>
  <c r="K40" s="1"/>
  <c r="H39"/>
  <c r="J39" s="1"/>
  <c r="H38"/>
  <c r="K38" s="1"/>
  <c r="E36"/>
  <c r="D36"/>
  <c r="C36"/>
  <c r="C50" s="1"/>
  <c r="G48" s="1"/>
  <c r="H35"/>
  <c r="J35" s="1"/>
  <c r="H34"/>
  <c r="K34" s="1"/>
  <c r="H33"/>
  <c r="J33" s="1"/>
  <c r="H32"/>
  <c r="K32" s="1"/>
  <c r="H31"/>
  <c r="J31" s="1"/>
  <c r="H30"/>
  <c r="J30" s="1"/>
  <c r="E25"/>
  <c r="D25"/>
  <c r="C25"/>
  <c r="H24"/>
  <c r="J24" s="1"/>
  <c r="H23"/>
  <c r="K23" s="1"/>
  <c r="H22"/>
  <c r="J22" s="1"/>
  <c r="H21"/>
  <c r="K21" s="1"/>
  <c r="H20"/>
  <c r="K20" s="1"/>
  <c r="H19"/>
  <c r="K19" s="1"/>
  <c r="E17"/>
  <c r="D17"/>
  <c r="C17"/>
  <c r="H16"/>
  <c r="K16" s="1"/>
  <c r="H15"/>
  <c r="K15" s="1"/>
  <c r="H14"/>
  <c r="K14" s="1"/>
  <c r="H13"/>
  <c r="K13" s="1"/>
  <c r="H12"/>
  <c r="K12" s="1"/>
  <c r="H11"/>
  <c r="K11" s="1"/>
  <c r="H10"/>
  <c r="K10" s="1"/>
  <c r="H9"/>
  <c r="K9" s="1"/>
  <c r="G12" i="10"/>
  <c r="G24" s="1"/>
  <c r="D9" i="43"/>
  <c r="C9"/>
  <c r="C102"/>
  <c r="C125" s="1"/>
  <c r="D102"/>
  <c r="C105"/>
  <c r="D105"/>
  <c r="D109"/>
  <c r="C110"/>
  <c r="D110"/>
  <c r="C111"/>
  <c r="D111"/>
  <c r="C112"/>
  <c r="D112"/>
  <c r="C113"/>
  <c r="D113"/>
  <c r="M110"/>
  <c r="N110"/>
  <c r="O110"/>
  <c r="P110"/>
  <c r="M111"/>
  <c r="AB111" s="1"/>
  <c r="N111"/>
  <c r="O111"/>
  <c r="P111"/>
  <c r="C109"/>
  <c r="K31" i="10"/>
  <c r="L31"/>
  <c r="M31"/>
  <c r="N31"/>
  <c r="J31"/>
  <c r="I31"/>
  <c r="H31"/>
  <c r="G31"/>
  <c r="F31"/>
  <c r="E31"/>
  <c r="D31"/>
  <c r="D10" i="48"/>
  <c r="R25" i="43"/>
  <c r="H6" i="64"/>
  <c r="R31" i="43"/>
  <c r="R32"/>
  <c r="R33"/>
  <c r="R34"/>
  <c r="R35"/>
  <c r="R37"/>
  <c r="R38"/>
  <c r="R39"/>
  <c r="R40"/>
  <c r="R43"/>
  <c r="R54"/>
  <c r="R55"/>
  <c r="R56"/>
  <c r="R57"/>
  <c r="R61"/>
  <c r="R62"/>
  <c r="R64"/>
  <c r="R65"/>
  <c r="R68"/>
  <c r="R69"/>
  <c r="R70"/>
  <c r="R71"/>
  <c r="R72"/>
  <c r="R101"/>
  <c r="D39" i="63"/>
  <c r="C39"/>
  <c r="E11" i="69"/>
  <c r="C152" i="43"/>
  <c r="C153"/>
  <c r="C154"/>
  <c r="C155"/>
  <c r="C157"/>
  <c r="C158"/>
  <c r="C159"/>
  <c r="C160"/>
  <c r="C150" s="1"/>
  <c r="C179"/>
  <c r="C30"/>
  <c r="C28" s="1"/>
  <c r="C24"/>
  <c r="F27" i="45"/>
  <c r="D154" i="43"/>
  <c r="C12" i="51"/>
  <c r="D12"/>
  <c r="E12"/>
  <c r="B12"/>
  <c r="E8" i="68"/>
  <c r="F8"/>
  <c r="D8"/>
  <c r="B8"/>
  <c r="B27" i="45"/>
  <c r="B7"/>
  <c r="B15" i="48"/>
  <c r="D24" i="43"/>
  <c r="C49" i="32"/>
  <c r="H49"/>
  <c r="M49"/>
  <c r="B7" i="50"/>
  <c r="C7"/>
  <c r="F17" i="10"/>
  <c r="C12" i="32"/>
  <c r="C18"/>
  <c r="K6" i="47"/>
  <c r="K7"/>
  <c r="K8"/>
  <c r="K9"/>
  <c r="K10"/>
  <c r="K11"/>
  <c r="K12"/>
  <c r="K13"/>
  <c r="K14"/>
  <c r="K15"/>
  <c r="K16"/>
  <c r="K17"/>
  <c r="K18"/>
  <c r="K19"/>
  <c r="K20"/>
  <c r="K21"/>
  <c r="K22"/>
  <c r="K23"/>
  <c r="K30"/>
  <c r="K31"/>
  <c r="K32"/>
  <c r="E26"/>
  <c r="E27"/>
  <c r="E28"/>
  <c r="E29"/>
  <c r="E30"/>
  <c r="E31"/>
  <c r="E32"/>
  <c r="E9" i="21"/>
  <c r="E10" s="1"/>
  <c r="F10" s="1"/>
  <c r="F39" i="63"/>
  <c r="D6" i="62"/>
  <c r="D20" i="61"/>
  <c r="B8" i="46"/>
  <c r="B28"/>
  <c r="E7" i="45"/>
  <c r="C10" i="50"/>
  <c r="D30" i="43"/>
  <c r="E21" i="65"/>
  <c r="D21"/>
  <c r="B21"/>
  <c r="C6"/>
  <c r="B6"/>
  <c r="E49" i="66"/>
  <c r="H48"/>
  <c r="H42"/>
  <c r="H34"/>
  <c r="E6"/>
  <c r="H6" s="1"/>
  <c r="E12"/>
  <c r="H12" s="1"/>
  <c r="H26"/>
  <c r="E24"/>
  <c r="H24" s="1"/>
  <c r="E23"/>
  <c r="H23" s="1"/>
  <c r="H50"/>
  <c r="H49" s="1"/>
  <c r="H47"/>
  <c r="H46"/>
  <c r="H45"/>
  <c r="H43"/>
  <c r="H41"/>
  <c r="H40"/>
  <c r="H39"/>
  <c r="H37"/>
  <c r="H36"/>
  <c r="H30"/>
  <c r="E25"/>
  <c r="E22"/>
  <c r="H22" s="1"/>
  <c r="E21"/>
  <c r="H21" s="1"/>
  <c r="E17"/>
  <c r="H17" s="1"/>
  <c r="E16"/>
  <c r="H16" s="1"/>
  <c r="E15"/>
  <c r="H15" s="1"/>
  <c r="E13"/>
  <c r="H13" s="1"/>
  <c r="E10"/>
  <c r="E9"/>
  <c r="H9" s="1"/>
  <c r="E8"/>
  <c r="H8" s="1"/>
  <c r="E7"/>
  <c r="H7" s="1"/>
  <c r="J5" i="63"/>
  <c r="M5" s="1"/>
  <c r="I5"/>
  <c r="L5" s="1"/>
  <c r="R51" i="59"/>
  <c r="P51"/>
  <c r="R50"/>
  <c r="P50"/>
  <c r="R49"/>
  <c r="P49"/>
  <c r="R48"/>
  <c r="P48"/>
  <c r="R47"/>
  <c r="P47"/>
  <c r="E10" i="60"/>
  <c r="R8" i="59"/>
  <c r="S8" s="1"/>
  <c r="R9"/>
  <c r="R10"/>
  <c r="P8"/>
  <c r="I8" s="1"/>
  <c r="P9"/>
  <c r="I9" s="1"/>
  <c r="P10"/>
  <c r="I10" s="1"/>
  <c r="R7"/>
  <c r="P7"/>
  <c r="H5" i="63"/>
  <c r="K5" s="1"/>
  <c r="D31" i="61"/>
  <c r="E6" i="62"/>
  <c r="E12"/>
  <c r="E16" i="60"/>
  <c r="E15"/>
  <c r="E8"/>
  <c r="C31" i="61"/>
  <c r="B31"/>
  <c r="G18"/>
  <c r="B18"/>
  <c r="E17"/>
  <c r="E16"/>
  <c r="E15"/>
  <c r="E14"/>
  <c r="E13"/>
  <c r="E12"/>
  <c r="E11"/>
  <c r="E10"/>
  <c r="E9"/>
  <c r="E8"/>
  <c r="E7"/>
  <c r="E6"/>
  <c r="D5" i="55"/>
  <c r="E6"/>
  <c r="E8" s="1"/>
  <c r="E10" s="1"/>
  <c r="M75" i="43" s="1"/>
  <c r="D4" i="55"/>
  <c r="D75" i="27"/>
  <c r="D74"/>
  <c r="E17" i="60"/>
  <c r="E12"/>
  <c r="H8" i="46"/>
  <c r="H28" s="1"/>
  <c r="G8"/>
  <c r="G28" s="1"/>
  <c r="N52" i="43" s="1"/>
  <c r="O52" s="1"/>
  <c r="P52" s="1"/>
  <c r="B10" i="50"/>
  <c r="H7"/>
  <c r="G7"/>
  <c r="I7" s="1"/>
  <c r="D7"/>
  <c r="F7" s="1"/>
  <c r="E15" i="48"/>
  <c r="D15"/>
  <c r="D179" i="43"/>
  <c r="D12" i="62"/>
  <c r="D160" i="43"/>
  <c r="D159"/>
  <c r="D158"/>
  <c r="D157"/>
  <c r="D152"/>
  <c r="D153"/>
  <c r="D155"/>
  <c r="H10" i="50"/>
  <c r="H15" s="1"/>
  <c r="H17" s="1"/>
  <c r="G10"/>
  <c r="D10" i="49"/>
  <c r="F10"/>
  <c r="E10"/>
  <c r="B10"/>
  <c r="C15" i="48"/>
  <c r="E10"/>
  <c r="M53" i="43" s="1"/>
  <c r="E27" i="45"/>
  <c r="E21"/>
  <c r="E15"/>
  <c r="G27"/>
  <c r="G21"/>
  <c r="F21"/>
  <c r="B21"/>
  <c r="G15"/>
  <c r="F15"/>
  <c r="B15"/>
  <c r="G7"/>
  <c r="F7"/>
  <c r="AE34" i="19"/>
  <c r="AE33"/>
  <c r="AE32"/>
  <c r="AE31"/>
  <c r="AE30"/>
  <c r="AE29"/>
  <c r="AE28"/>
  <c r="AE27"/>
  <c r="AE26"/>
  <c r="AE25"/>
  <c r="AE24"/>
  <c r="AE23"/>
  <c r="AE22"/>
  <c r="AE21"/>
  <c r="AE20"/>
  <c r="AE19"/>
  <c r="AE18"/>
  <c r="AE17"/>
  <c r="AE16"/>
  <c r="AE15"/>
  <c r="AE14"/>
  <c r="AE13"/>
  <c r="AE12"/>
  <c r="AE11"/>
  <c r="AE10"/>
  <c r="AE9"/>
  <c r="AE8"/>
  <c r="AB34"/>
  <c r="AB33"/>
  <c r="AB32"/>
  <c r="AB31"/>
  <c r="AB30"/>
  <c r="AB29"/>
  <c r="AB28"/>
  <c r="AB27"/>
  <c r="AB26"/>
  <c r="AB25"/>
  <c r="AB24"/>
  <c r="AB23"/>
  <c r="AB22"/>
  <c r="AB21"/>
  <c r="AB20"/>
  <c r="AB19"/>
  <c r="AB18"/>
  <c r="AB17"/>
  <c r="AB16"/>
  <c r="AB15"/>
  <c r="AB14"/>
  <c r="AB13"/>
  <c r="AB12"/>
  <c r="AB11"/>
  <c r="AB10"/>
  <c r="AB9"/>
  <c r="AB8"/>
  <c r="AE47" i="18"/>
  <c r="AE46"/>
  <c r="AE45"/>
  <c r="AE44"/>
  <c r="AE40"/>
  <c r="AE39"/>
  <c r="AE38"/>
  <c r="AE37"/>
  <c r="AE36"/>
  <c r="AE35"/>
  <c r="AE34"/>
  <c r="AE33"/>
  <c r="AE32"/>
  <c r="AE31"/>
  <c r="AE29"/>
  <c r="AE28"/>
  <c r="AE27"/>
  <c r="AE26"/>
  <c r="AE25"/>
  <c r="AE24"/>
  <c r="AE23"/>
  <c r="AE22"/>
  <c r="AE21"/>
  <c r="AE20"/>
  <c r="AE19"/>
  <c r="AE18"/>
  <c r="AE17"/>
  <c r="AE16"/>
  <c r="AE15"/>
  <c r="AE14"/>
  <c r="AE13"/>
  <c r="AE12"/>
  <c r="AE11"/>
  <c r="AE10"/>
  <c r="AB47"/>
  <c r="AB46"/>
  <c r="AB45"/>
  <c r="AB44"/>
  <c r="AB40"/>
  <c r="AB39"/>
  <c r="AB38"/>
  <c r="AB37"/>
  <c r="AB36"/>
  <c r="AB35"/>
  <c r="AB34"/>
  <c r="AB33"/>
  <c r="AB32"/>
  <c r="AB31"/>
  <c r="AB29"/>
  <c r="AB28"/>
  <c r="AB27"/>
  <c r="AB26"/>
  <c r="AB25"/>
  <c r="AB24"/>
  <c r="AB23"/>
  <c r="AB22"/>
  <c r="AB21"/>
  <c r="AB20"/>
  <c r="AB19"/>
  <c r="AB18"/>
  <c r="AB17"/>
  <c r="AB16"/>
  <c r="AB15"/>
  <c r="AB14"/>
  <c r="AB13"/>
  <c r="AB12"/>
  <c r="AB30" s="1"/>
  <c r="AB11"/>
  <c r="AB10"/>
  <c r="P76" i="32"/>
  <c r="O76"/>
  <c r="N76"/>
  <c r="K76"/>
  <c r="J76"/>
  <c r="I76"/>
  <c r="F76"/>
  <c r="E76"/>
  <c r="D76"/>
  <c r="O75"/>
  <c r="O74" s="1"/>
  <c r="N75"/>
  <c r="J75"/>
  <c r="I75"/>
  <c r="E75"/>
  <c r="E74" s="1"/>
  <c r="D75"/>
  <c r="M72"/>
  <c r="H72"/>
  <c r="C72"/>
  <c r="O70"/>
  <c r="N70"/>
  <c r="J70"/>
  <c r="I70"/>
  <c r="F70"/>
  <c r="E70"/>
  <c r="D70"/>
  <c r="M69"/>
  <c r="H69"/>
  <c r="C69"/>
  <c r="M68"/>
  <c r="H68"/>
  <c r="C68"/>
  <c r="Q67"/>
  <c r="P67"/>
  <c r="O67"/>
  <c r="N67"/>
  <c r="L67"/>
  <c r="K67"/>
  <c r="J67"/>
  <c r="H67" s="1"/>
  <c r="I67"/>
  <c r="G67"/>
  <c r="F67"/>
  <c r="E67"/>
  <c r="D67"/>
  <c r="M66"/>
  <c r="H66"/>
  <c r="C66"/>
  <c r="M65"/>
  <c r="H65"/>
  <c r="C65"/>
  <c r="Q64"/>
  <c r="M64" s="1"/>
  <c r="P64"/>
  <c r="O64"/>
  <c r="N64"/>
  <c r="L64"/>
  <c r="K64"/>
  <c r="J64"/>
  <c r="I64"/>
  <c r="G64"/>
  <c r="F64"/>
  <c r="E64"/>
  <c r="D64"/>
  <c r="O61"/>
  <c r="N61"/>
  <c r="K61"/>
  <c r="J61"/>
  <c r="I61"/>
  <c r="E61"/>
  <c r="D61"/>
  <c r="Q57"/>
  <c r="P57"/>
  <c r="O57"/>
  <c r="N57"/>
  <c r="L57"/>
  <c r="K57"/>
  <c r="J57"/>
  <c r="I57"/>
  <c r="G57"/>
  <c r="F57"/>
  <c r="E57"/>
  <c r="D57"/>
  <c r="M55"/>
  <c r="H55"/>
  <c r="C55"/>
  <c r="M54"/>
  <c r="M57" s="1"/>
  <c r="H54"/>
  <c r="C54"/>
  <c r="M53"/>
  <c r="H53"/>
  <c r="C53"/>
  <c r="Q49"/>
  <c r="N49"/>
  <c r="L49"/>
  <c r="I49"/>
  <c r="G49"/>
  <c r="D49"/>
  <c r="Q75" i="27"/>
  <c r="P75"/>
  <c r="O75"/>
  <c r="O73" s="1"/>
  <c r="N75"/>
  <c r="L75"/>
  <c r="K75"/>
  <c r="J75"/>
  <c r="I75"/>
  <c r="G75"/>
  <c r="F75"/>
  <c r="E75"/>
  <c r="Q74"/>
  <c r="P74"/>
  <c r="P73" s="1"/>
  <c r="O74"/>
  <c r="N74"/>
  <c r="N73" s="1"/>
  <c r="L74"/>
  <c r="K74"/>
  <c r="J74"/>
  <c r="I74"/>
  <c r="I73" s="1"/>
  <c r="G74"/>
  <c r="F74"/>
  <c r="F73" s="1"/>
  <c r="E74"/>
  <c r="M71"/>
  <c r="H71"/>
  <c r="C71"/>
  <c r="M70"/>
  <c r="H70"/>
  <c r="C70"/>
  <c r="Q69"/>
  <c r="P69"/>
  <c r="O69"/>
  <c r="N69"/>
  <c r="L69"/>
  <c r="K69"/>
  <c r="J69"/>
  <c r="I69"/>
  <c r="G69"/>
  <c r="F69"/>
  <c r="E69"/>
  <c r="D69"/>
  <c r="M68"/>
  <c r="H68"/>
  <c r="C68"/>
  <c r="M67"/>
  <c r="H67"/>
  <c r="C67"/>
  <c r="Q66"/>
  <c r="P66"/>
  <c r="O66"/>
  <c r="N66"/>
  <c r="L66"/>
  <c r="K66"/>
  <c r="J66"/>
  <c r="I66"/>
  <c r="G66"/>
  <c r="F66"/>
  <c r="E66"/>
  <c r="D66"/>
  <c r="M65"/>
  <c r="H65"/>
  <c r="C65"/>
  <c r="M64"/>
  <c r="H64"/>
  <c r="C64"/>
  <c r="Q63"/>
  <c r="P63"/>
  <c r="O63"/>
  <c r="N63"/>
  <c r="L63"/>
  <c r="K63"/>
  <c r="J63"/>
  <c r="I63"/>
  <c r="G63"/>
  <c r="F63"/>
  <c r="E63"/>
  <c r="D63"/>
  <c r="M62"/>
  <c r="H62"/>
  <c r="C62"/>
  <c r="M61"/>
  <c r="H61"/>
  <c r="C61"/>
  <c r="Q60"/>
  <c r="P60"/>
  <c r="O60"/>
  <c r="N60"/>
  <c r="L60"/>
  <c r="K60"/>
  <c r="J60"/>
  <c r="I60"/>
  <c r="G60"/>
  <c r="F60"/>
  <c r="E60"/>
  <c r="D60"/>
  <c r="Q55"/>
  <c r="P55"/>
  <c r="O55"/>
  <c r="N55"/>
  <c r="L55"/>
  <c r="K55"/>
  <c r="J55"/>
  <c r="I55"/>
  <c r="G55"/>
  <c r="F55"/>
  <c r="E55"/>
  <c r="D55"/>
  <c r="M53"/>
  <c r="H53"/>
  <c r="C53"/>
  <c r="M52"/>
  <c r="H52"/>
  <c r="C52"/>
  <c r="M51"/>
  <c r="H51"/>
  <c r="C51"/>
  <c r="M43"/>
  <c r="H43"/>
  <c r="M42"/>
  <c r="H42"/>
  <c r="C42"/>
  <c r="M41"/>
  <c r="H41"/>
  <c r="C41"/>
  <c r="Y34" i="19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Y9"/>
  <c r="Y8"/>
  <c r="V34"/>
  <c r="V33"/>
  <c r="V32"/>
  <c r="V31"/>
  <c r="V30"/>
  <c r="V29"/>
  <c r="V28"/>
  <c r="V27"/>
  <c r="V26"/>
  <c r="V25"/>
  <c r="V24"/>
  <c r="V23"/>
  <c r="V22"/>
  <c r="V21"/>
  <c r="V20"/>
  <c r="V19"/>
  <c r="V18"/>
  <c r="V17"/>
  <c r="V16"/>
  <c r="V15"/>
  <c r="V14"/>
  <c r="V13"/>
  <c r="V12"/>
  <c r="V11"/>
  <c r="V10"/>
  <c r="V9"/>
  <c r="V8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8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Y47" i="18"/>
  <c r="Y46"/>
  <c r="Y45"/>
  <c r="Y44"/>
  <c r="Y40"/>
  <c r="Y39"/>
  <c r="Y38"/>
  <c r="Y37"/>
  <c r="Y36"/>
  <c r="Y35"/>
  <c r="Y34"/>
  <c r="Y33"/>
  <c r="Y32"/>
  <c r="Y31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V47"/>
  <c r="V46"/>
  <c r="V45"/>
  <c r="V44"/>
  <c r="V40"/>
  <c r="V39"/>
  <c r="V38"/>
  <c r="V37"/>
  <c r="V36"/>
  <c r="V35"/>
  <c r="V34"/>
  <c r="V33"/>
  <c r="V32"/>
  <c r="V31"/>
  <c r="V29"/>
  <c r="V28"/>
  <c r="V27"/>
  <c r="V26"/>
  <c r="V25"/>
  <c r="V24"/>
  <c r="V23"/>
  <c r="V22"/>
  <c r="V21"/>
  <c r="V20"/>
  <c r="V19"/>
  <c r="V18"/>
  <c r="V17"/>
  <c r="V16"/>
  <c r="V15"/>
  <c r="V14"/>
  <c r="V13"/>
  <c r="V12"/>
  <c r="V11"/>
  <c r="V10"/>
  <c r="P47"/>
  <c r="P46"/>
  <c r="P45"/>
  <c r="P44"/>
  <c r="P40"/>
  <c r="P39"/>
  <c r="P38"/>
  <c r="P37"/>
  <c r="P36"/>
  <c r="P35"/>
  <c r="P34"/>
  <c r="P33"/>
  <c r="P32"/>
  <c r="P31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M47"/>
  <c r="M46"/>
  <c r="M45"/>
  <c r="M44"/>
  <c r="M40"/>
  <c r="M39"/>
  <c r="M38"/>
  <c r="M37"/>
  <c r="M36"/>
  <c r="M35"/>
  <c r="M34"/>
  <c r="M33"/>
  <c r="M32"/>
  <c r="M31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Q20" i="32"/>
  <c r="Q20" i="27"/>
  <c r="M16" i="32"/>
  <c r="L20" i="27"/>
  <c r="K20"/>
  <c r="L13"/>
  <c r="K13"/>
  <c r="J13"/>
  <c r="P20"/>
  <c r="N29"/>
  <c r="H23" i="21"/>
  <c r="I23" s="1"/>
  <c r="H32"/>
  <c r="I32" s="1"/>
  <c r="J29"/>
  <c r="H22"/>
  <c r="Q13" i="27"/>
  <c r="O20" i="32"/>
  <c r="N20" i="27"/>
  <c r="O20"/>
  <c r="N13"/>
  <c r="M12"/>
  <c r="O13" i="32"/>
  <c r="N20"/>
  <c r="G24" i="18"/>
  <c r="G33"/>
  <c r="G37"/>
  <c r="G32" i="19"/>
  <c r="G33"/>
  <c r="G45" i="18"/>
  <c r="G46"/>
  <c r="G9" i="19"/>
  <c r="G10"/>
  <c r="H12" i="32"/>
  <c r="M12"/>
  <c r="D13"/>
  <c r="E13"/>
  <c r="G13"/>
  <c r="I13"/>
  <c r="J13"/>
  <c r="K13"/>
  <c r="L13"/>
  <c r="C14"/>
  <c r="H14"/>
  <c r="H15"/>
  <c r="C16"/>
  <c r="H16"/>
  <c r="H18"/>
  <c r="M18"/>
  <c r="D20"/>
  <c r="E20"/>
  <c r="G20"/>
  <c r="I20"/>
  <c r="I19" s="1"/>
  <c r="J20"/>
  <c r="L20"/>
  <c r="C21"/>
  <c r="H21"/>
  <c r="C22"/>
  <c r="H22"/>
  <c r="M22"/>
  <c r="C23"/>
  <c r="H23"/>
  <c r="M23"/>
  <c r="D24"/>
  <c r="E24"/>
  <c r="F24"/>
  <c r="G24"/>
  <c r="I24"/>
  <c r="J24"/>
  <c r="K24"/>
  <c r="L24"/>
  <c r="N24"/>
  <c r="O24"/>
  <c r="P24"/>
  <c r="Q24"/>
  <c r="C25"/>
  <c r="H25"/>
  <c r="M25"/>
  <c r="C26"/>
  <c r="H26"/>
  <c r="M26"/>
  <c r="C27"/>
  <c r="H27"/>
  <c r="M27"/>
  <c r="C28"/>
  <c r="H28"/>
  <c r="M28"/>
  <c r="D29"/>
  <c r="E29"/>
  <c r="E36" s="1"/>
  <c r="F29"/>
  <c r="G29"/>
  <c r="I29"/>
  <c r="J29"/>
  <c r="K29"/>
  <c r="L29"/>
  <c r="N29"/>
  <c r="O29"/>
  <c r="P29"/>
  <c r="Q29"/>
  <c r="C30"/>
  <c r="H30"/>
  <c r="M30"/>
  <c r="C31"/>
  <c r="H31"/>
  <c r="M31"/>
  <c r="C32"/>
  <c r="H32"/>
  <c r="M32"/>
  <c r="M17" i="27"/>
  <c r="O13"/>
  <c r="G23" i="18"/>
  <c r="J36" i="21"/>
  <c r="J35"/>
  <c r="G15" i="18"/>
  <c r="G44"/>
  <c r="G31" i="19"/>
  <c r="G19"/>
  <c r="G14" i="18"/>
  <c r="E29" i="21"/>
  <c r="F29"/>
  <c r="G29"/>
  <c r="H18" i="27"/>
  <c r="C18"/>
  <c r="H17"/>
  <c r="C17"/>
  <c r="F9" i="21"/>
  <c r="F38"/>
  <c r="G38"/>
  <c r="E38"/>
  <c r="E36"/>
  <c r="F36"/>
  <c r="G36"/>
  <c r="E37"/>
  <c r="F37"/>
  <c r="G37"/>
  <c r="H27"/>
  <c r="I27" s="1"/>
  <c r="F35"/>
  <c r="G35"/>
  <c r="H30"/>
  <c r="I30" s="1"/>
  <c r="E35"/>
  <c r="H31"/>
  <c r="I31" s="1"/>
  <c r="H28"/>
  <c r="I28" s="1"/>
  <c r="H26"/>
  <c r="I26" s="1"/>
  <c r="H25"/>
  <c r="I25" s="1"/>
  <c r="J24"/>
  <c r="G24"/>
  <c r="F24"/>
  <c r="E24"/>
  <c r="F19"/>
  <c r="F18" s="1"/>
  <c r="G19"/>
  <c r="E19"/>
  <c r="H21"/>
  <c r="H20"/>
  <c r="G11" i="19"/>
  <c r="G12"/>
  <c r="G13"/>
  <c r="G14"/>
  <c r="G15"/>
  <c r="G16"/>
  <c r="G17"/>
  <c r="G18"/>
  <c r="G20"/>
  <c r="G21"/>
  <c r="G22"/>
  <c r="G23"/>
  <c r="G24"/>
  <c r="G25"/>
  <c r="G26"/>
  <c r="G27"/>
  <c r="G28"/>
  <c r="G29"/>
  <c r="G30"/>
  <c r="G34"/>
  <c r="G8"/>
  <c r="G47" i="18"/>
  <c r="G38"/>
  <c r="G34"/>
  <c r="G35"/>
  <c r="G36"/>
  <c r="G39"/>
  <c r="G40"/>
  <c r="G32"/>
  <c r="G31"/>
  <c r="G11"/>
  <c r="G12"/>
  <c r="G13"/>
  <c r="G16"/>
  <c r="G17"/>
  <c r="G18"/>
  <c r="G19"/>
  <c r="G20"/>
  <c r="G21"/>
  <c r="G22"/>
  <c r="G25"/>
  <c r="G26"/>
  <c r="G27"/>
  <c r="G28"/>
  <c r="G29"/>
  <c r="G10"/>
  <c r="G13" i="27"/>
  <c r="C12"/>
  <c r="I20"/>
  <c r="J20"/>
  <c r="I13"/>
  <c r="N24"/>
  <c r="N36" s="1"/>
  <c r="O24"/>
  <c r="P24"/>
  <c r="G20"/>
  <c r="F20"/>
  <c r="F13"/>
  <c r="E20"/>
  <c r="E13"/>
  <c r="D20"/>
  <c r="H12"/>
  <c r="D13"/>
  <c r="C14"/>
  <c r="H14"/>
  <c r="M14"/>
  <c r="C15"/>
  <c r="H15"/>
  <c r="C16"/>
  <c r="H16"/>
  <c r="M16"/>
  <c r="M18"/>
  <c r="C21"/>
  <c r="H21"/>
  <c r="M21"/>
  <c r="C22"/>
  <c r="H22"/>
  <c r="M22"/>
  <c r="C23"/>
  <c r="H23"/>
  <c r="M23"/>
  <c r="D24"/>
  <c r="E24"/>
  <c r="F24"/>
  <c r="G24"/>
  <c r="I24"/>
  <c r="J24"/>
  <c r="K24"/>
  <c r="L24"/>
  <c r="Q24"/>
  <c r="C25"/>
  <c r="H25"/>
  <c r="M25"/>
  <c r="C26"/>
  <c r="H26"/>
  <c r="M26"/>
  <c r="C27"/>
  <c r="H27"/>
  <c r="M27"/>
  <c r="C28"/>
  <c r="H28"/>
  <c r="M28"/>
  <c r="D29"/>
  <c r="E29"/>
  <c r="F29"/>
  <c r="G29"/>
  <c r="I29"/>
  <c r="J29"/>
  <c r="K29"/>
  <c r="L29"/>
  <c r="O29"/>
  <c r="P29"/>
  <c r="Q29"/>
  <c r="C30"/>
  <c r="H30"/>
  <c r="M30"/>
  <c r="C31"/>
  <c r="H31"/>
  <c r="M31"/>
  <c r="C32"/>
  <c r="H32"/>
  <c r="M32"/>
  <c r="B9" i="18"/>
  <c r="C9" s="1"/>
  <c r="D9" s="1"/>
  <c r="E9" s="1"/>
  <c r="F9" s="1"/>
  <c r="B7" i="19"/>
  <c r="C7" s="1"/>
  <c r="D7" s="1"/>
  <c r="E7" s="1"/>
  <c r="F7" s="1"/>
  <c r="I179" i="43"/>
  <c r="N13" i="32"/>
  <c r="M14"/>
  <c r="Q13"/>
  <c r="J38" i="21"/>
  <c r="J34" s="1"/>
  <c r="J19"/>
  <c r="I22"/>
  <c r="S7" i="59"/>
  <c r="I21" i="21"/>
  <c r="L36" i="32"/>
  <c r="E13" i="60"/>
  <c r="G19" i="32"/>
  <c r="G7" s="1"/>
  <c r="Q36"/>
  <c r="D10" i="50"/>
  <c r="D15" s="1"/>
  <c r="D17" s="1"/>
  <c r="R46" i="43" s="1"/>
  <c r="E7" i="60"/>
  <c r="E14"/>
  <c r="D51" i="43"/>
  <c r="D44" s="1"/>
  <c r="E11" i="60"/>
  <c r="E9"/>
  <c r="G9"/>
  <c r="G34" i="21"/>
  <c r="AB35" i="19"/>
  <c r="G16" i="60"/>
  <c r="G14"/>
  <c r="G12"/>
  <c r="G10"/>
  <c r="G17"/>
  <c r="G15"/>
  <c r="G11"/>
  <c r="G8"/>
  <c r="C126" i="43"/>
  <c r="C44"/>
  <c r="G9" i="21"/>
  <c r="I10" i="50"/>
  <c r="D126" i="43"/>
  <c r="E39" i="63"/>
  <c r="G7" i="60"/>
  <c r="H9" i="21"/>
  <c r="M179" i="43"/>
  <c r="K179"/>
  <c r="I9" i="21"/>
  <c r="N179" i="43"/>
  <c r="K9" i="21"/>
  <c r="P179" i="43"/>
  <c r="J9" i="21"/>
  <c r="O179" i="43"/>
  <c r="R36"/>
  <c r="Q19" i="32"/>
  <c r="Q7" s="1"/>
  <c r="N74"/>
  <c r="G39" i="63"/>
  <c r="M152" i="43"/>
  <c r="I7" i="79"/>
  <c r="I23" s="1"/>
  <c r="B15" i="50"/>
  <c r="B17" s="1"/>
  <c r="G18" i="32"/>
  <c r="H10" i="73" l="1"/>
  <c r="E50" i="72"/>
  <c r="G34"/>
  <c r="R75" i="43"/>
  <c r="C132"/>
  <c r="E7" i="73"/>
  <c r="F7" s="1"/>
  <c r="H7"/>
  <c r="G38" i="72"/>
  <c r="D50"/>
  <c r="F34" s="1"/>
  <c r="I34" s="1"/>
  <c r="E26"/>
  <c r="D41" i="43"/>
  <c r="D28" s="1"/>
  <c r="D23" s="1"/>
  <c r="E23" s="1"/>
  <c r="E78" s="1"/>
  <c r="E83" s="1"/>
  <c r="E85" s="1"/>
  <c r="D21" i="63" s="1"/>
  <c r="E6" i="65"/>
  <c r="I8" i="79"/>
  <c r="H9"/>
  <c r="H11" s="1"/>
  <c r="I11" s="1"/>
  <c r="O10" i="43"/>
  <c r="O36" i="27"/>
  <c r="Y36" i="19"/>
  <c r="AB42" i="18"/>
  <c r="AB36" i="19"/>
  <c r="D21" i="61"/>
  <c r="J109" i="80"/>
  <c r="H113"/>
  <c r="H114"/>
  <c r="H109"/>
  <c r="H119"/>
  <c r="H110"/>
  <c r="H120"/>
  <c r="G15" i="50"/>
  <c r="G17" s="1"/>
  <c r="J36" i="32"/>
  <c r="H24"/>
  <c r="E19"/>
  <c r="I74"/>
  <c r="F108" i="80"/>
  <c r="F114"/>
  <c r="F109"/>
  <c r="F110"/>
  <c r="F38" i="72"/>
  <c r="I38" s="1"/>
  <c r="C10" i="73"/>
  <c r="C16" s="1"/>
  <c r="I15" i="50"/>
  <c r="I17" s="1"/>
  <c r="C64" i="32"/>
  <c r="C67"/>
  <c r="H49" i="72"/>
  <c r="J49" s="1"/>
  <c r="O31" i="80"/>
  <c r="O33"/>
  <c r="O35"/>
  <c r="O38"/>
  <c r="H25" i="66"/>
  <c r="H28" s="1"/>
  <c r="H29" s="1"/>
  <c r="E28"/>
  <c r="E29" s="1"/>
  <c r="E31" s="1"/>
  <c r="R24" i="43"/>
  <c r="M36" i="19"/>
  <c r="M35"/>
  <c r="V36"/>
  <c r="AB48" i="18"/>
  <c r="O13" i="43" s="1"/>
  <c r="E19" i="60"/>
  <c r="C148" i="43"/>
  <c r="G49" i="63"/>
  <c r="F49"/>
  <c r="E49"/>
  <c r="K11" i="79"/>
  <c r="L11" s="1"/>
  <c r="L9"/>
  <c r="G108" i="80"/>
  <c r="H16" i="73"/>
  <c r="L8" i="79"/>
  <c r="AB37" i="19"/>
  <c r="H36" i="21"/>
  <c r="E18"/>
  <c r="E34"/>
  <c r="M42" i="18"/>
  <c r="M67" i="32"/>
  <c r="J74"/>
  <c r="Q76"/>
  <c r="H36" i="72"/>
  <c r="K36" s="1"/>
  <c r="G40"/>
  <c r="G44"/>
  <c r="C124" i="43"/>
  <c r="J19" i="32"/>
  <c r="H38" i="21"/>
  <c r="I36"/>
  <c r="Y35" i="19"/>
  <c r="Y37" s="1"/>
  <c r="C63" i="27"/>
  <c r="C75"/>
  <c r="AE30" i="18"/>
  <c r="D73" i="27"/>
  <c r="D6" i="55"/>
  <c r="D8" s="1"/>
  <c r="D10" s="1"/>
  <c r="I7" i="59"/>
  <c r="G49" i="72"/>
  <c r="G30"/>
  <c r="G46"/>
  <c r="D22" i="61"/>
  <c r="J18" i="21"/>
  <c r="F34"/>
  <c r="P30" i="18"/>
  <c r="C57" i="32"/>
  <c r="D147" i="43"/>
  <c r="G36" i="72"/>
  <c r="G32"/>
  <c r="G18" i="21"/>
  <c r="I37"/>
  <c r="D156" i="43"/>
  <c r="D169" s="1"/>
  <c r="M13" i="27"/>
  <c r="L36"/>
  <c r="J36"/>
  <c r="G36"/>
  <c r="E36"/>
  <c r="H24"/>
  <c r="M15"/>
  <c r="C13"/>
  <c r="N19"/>
  <c r="M69"/>
  <c r="E73"/>
  <c r="Q73"/>
  <c r="M73" s="1"/>
  <c r="M75"/>
  <c r="H63" i="32"/>
  <c r="E19" i="27"/>
  <c r="M24"/>
  <c r="O19"/>
  <c r="C66"/>
  <c r="H66"/>
  <c r="M66"/>
  <c r="C69"/>
  <c r="G73"/>
  <c r="J73"/>
  <c r="L73"/>
  <c r="H75"/>
  <c r="G76" i="32"/>
  <c r="C76" s="1"/>
  <c r="K49"/>
  <c r="P49"/>
  <c r="G61"/>
  <c r="Q75"/>
  <c r="F75"/>
  <c r="M70"/>
  <c r="L74"/>
  <c r="L61"/>
  <c r="H61" s="1"/>
  <c r="M62"/>
  <c r="C71"/>
  <c r="H62"/>
  <c r="M30" i="18"/>
  <c r="Y42"/>
  <c r="N11" i="43" s="1"/>
  <c r="AE42" i="18"/>
  <c r="M43"/>
  <c r="M41" s="1"/>
  <c r="M48"/>
  <c r="P42"/>
  <c r="P48"/>
  <c r="V30"/>
  <c r="V42"/>
  <c r="Y30"/>
  <c r="AB43"/>
  <c r="AE43"/>
  <c r="G43"/>
  <c r="P43"/>
  <c r="O11" i="43"/>
  <c r="V43" i="18"/>
  <c r="V41" s="1"/>
  <c r="V48"/>
  <c r="M13" i="43" s="1"/>
  <c r="R49"/>
  <c r="B6" i="45"/>
  <c r="S9" i="59"/>
  <c r="I10" i="83"/>
  <c r="I11"/>
  <c r="I19"/>
  <c r="C147" i="43"/>
  <c r="K8" i="63"/>
  <c r="D125" i="43"/>
  <c r="K14" i="63" s="1"/>
  <c r="D167" i="43"/>
  <c r="L16" i="63"/>
  <c r="F13"/>
  <c r="I8"/>
  <c r="D124" i="43"/>
  <c r="N133"/>
  <c r="N139" s="1"/>
  <c r="I14" i="83"/>
  <c r="I16"/>
  <c r="I17"/>
  <c r="H16" i="63"/>
  <c r="H8"/>
  <c r="G15" i="10"/>
  <c r="G18" s="1"/>
  <c r="G21"/>
  <c r="C149" i="43"/>
  <c r="K16" i="63"/>
  <c r="D7"/>
  <c r="D11" s="1"/>
  <c r="D17"/>
  <c r="D150" i="43"/>
  <c r="I16" i="63"/>
  <c r="H29" i="21"/>
  <c r="I29"/>
  <c r="H37"/>
  <c r="H24"/>
  <c r="K34" i="47"/>
  <c r="E34"/>
  <c r="I9" i="79"/>
  <c r="M153" i="43"/>
  <c r="M37" i="19"/>
  <c r="G19" i="27"/>
  <c r="G7" s="1"/>
  <c r="G8" s="1"/>
  <c r="G11" s="1"/>
  <c r="G30" i="18"/>
  <c r="I36" i="32"/>
  <c r="C29"/>
  <c r="D19"/>
  <c r="G35" i="19"/>
  <c r="G48" i="18"/>
  <c r="E13" i="43" s="1"/>
  <c r="G42" i="18"/>
  <c r="Q19" i="27"/>
  <c r="Q7" s="1"/>
  <c r="Q8" s="1"/>
  <c r="Q11" s="1"/>
  <c r="Y43" i="18"/>
  <c r="Y41" s="1"/>
  <c r="Y48"/>
  <c r="N13" i="43" s="1"/>
  <c r="S36" i="19"/>
  <c r="S35"/>
  <c r="H55" i="27"/>
  <c r="M55"/>
  <c r="H63"/>
  <c r="M63"/>
  <c r="H57" i="32"/>
  <c r="H70"/>
  <c r="F74"/>
  <c r="M76"/>
  <c r="AE48" i="18"/>
  <c r="P13" i="43" s="1"/>
  <c r="AE36" i="19"/>
  <c r="P11" i="43" s="1"/>
  <c r="AE35" i="19"/>
  <c r="G6" i="45"/>
  <c r="C15" i="50"/>
  <c r="C17" s="1"/>
  <c r="C23" i="43"/>
  <c r="C100" s="1"/>
  <c r="R26"/>
  <c r="C26" i="72"/>
  <c r="G8" s="1"/>
  <c r="H17"/>
  <c r="K17" s="1"/>
  <c r="G50"/>
  <c r="G47"/>
  <c r="G45"/>
  <c r="G35"/>
  <c r="G33"/>
  <c r="G31"/>
  <c r="G41"/>
  <c r="G39"/>
  <c r="H42"/>
  <c r="G42"/>
  <c r="F49"/>
  <c r="G75" i="32"/>
  <c r="S30" i="59"/>
  <c r="C20" i="27"/>
  <c r="G36" i="19"/>
  <c r="E11" i="43" s="1"/>
  <c r="I24" i="21"/>
  <c r="L19" i="32"/>
  <c r="L7" s="1"/>
  <c r="P19" i="27"/>
  <c r="K19"/>
  <c r="N10" i="43"/>
  <c r="V35" i="19"/>
  <c r="H60" i="27"/>
  <c r="H64" i="32"/>
  <c r="H76"/>
  <c r="D151" i="43"/>
  <c r="D168" s="1"/>
  <c r="R42"/>
  <c r="I18" i="82"/>
  <c r="G24"/>
  <c r="C13" i="32"/>
  <c r="K19"/>
  <c r="I14" i="59"/>
  <c r="S14"/>
  <c r="I22"/>
  <c r="S22"/>
  <c r="I26"/>
  <c r="S26"/>
  <c r="S18"/>
  <c r="S47"/>
  <c r="S48"/>
  <c r="S49"/>
  <c r="S50"/>
  <c r="S51"/>
  <c r="C151" i="43"/>
  <c r="C168" s="1"/>
  <c r="D26" i="72"/>
  <c r="F8" s="1"/>
  <c r="H25"/>
  <c r="J25" s="1"/>
  <c r="E15" i="50"/>
  <c r="E17" s="1"/>
  <c r="I12" i="82"/>
  <c r="I13"/>
  <c r="I24" s="1"/>
  <c r="I14"/>
  <c r="I19"/>
  <c r="I23"/>
  <c r="G21" i="83"/>
  <c r="I12"/>
  <c r="I15"/>
  <c r="I20"/>
  <c r="M20" i="32"/>
  <c r="F49"/>
  <c r="Q61"/>
  <c r="M61" s="1"/>
  <c r="K75"/>
  <c r="K74" s="1"/>
  <c r="P75"/>
  <c r="F18" i="80"/>
  <c r="F22" s="1"/>
  <c r="D49" i="63"/>
  <c r="S27" i="59"/>
  <c r="S11"/>
  <c r="S15"/>
  <c r="S19"/>
  <c r="S23"/>
  <c r="S10"/>
  <c r="S29"/>
  <c r="S13"/>
  <c r="S17"/>
  <c r="S21"/>
  <c r="S25"/>
  <c r="S28"/>
  <c r="S12"/>
  <c r="S16"/>
  <c r="S20"/>
  <c r="S24"/>
  <c r="D9" i="63"/>
  <c r="E9"/>
  <c r="D148" i="43"/>
  <c r="C156"/>
  <c r="D108" i="80"/>
  <c r="F119"/>
  <c r="E14"/>
  <c r="V14" s="1"/>
  <c r="E16"/>
  <c r="V16" s="1"/>
  <c r="E21"/>
  <c r="V21" s="1"/>
  <c r="D113"/>
  <c r="F118"/>
  <c r="F120"/>
  <c r="K8"/>
  <c r="K12" s="1"/>
  <c r="D18"/>
  <c r="D22" s="1"/>
  <c r="N18"/>
  <c r="N22" s="1"/>
  <c r="R18"/>
  <c r="R22" s="1"/>
  <c r="J118"/>
  <c r="J119"/>
  <c r="G113"/>
  <c r="D116"/>
  <c r="I8"/>
  <c r="I104" s="1"/>
  <c r="L13"/>
  <c r="P18"/>
  <c r="P115" s="1"/>
  <c r="E20"/>
  <c r="V20" s="1"/>
  <c r="I108"/>
  <c r="D118"/>
  <c r="H118"/>
  <c r="G8"/>
  <c r="O8"/>
  <c r="E15"/>
  <c r="J18"/>
  <c r="N115"/>
  <c r="R115"/>
  <c r="K119"/>
  <c r="I118"/>
  <c r="D106"/>
  <c r="E113"/>
  <c r="G114"/>
  <c r="N116"/>
  <c r="R116"/>
  <c r="S13"/>
  <c r="M106"/>
  <c r="Q8"/>
  <c r="Q106"/>
  <c r="F115"/>
  <c r="L23"/>
  <c r="F117"/>
  <c r="I105"/>
  <c r="F106"/>
  <c r="E109"/>
  <c r="H18"/>
  <c r="S23"/>
  <c r="S117" s="1"/>
  <c r="E24"/>
  <c r="E25"/>
  <c r="E26"/>
  <c r="H108"/>
  <c r="J108"/>
  <c r="D109"/>
  <c r="D110"/>
  <c r="F113"/>
  <c r="H117"/>
  <c r="M8"/>
  <c r="L9"/>
  <c r="S9"/>
  <c r="E10"/>
  <c r="V10" s="1"/>
  <c r="E11"/>
  <c r="V11" s="1"/>
  <c r="L19"/>
  <c r="S19"/>
  <c r="S116" s="1"/>
  <c r="D8"/>
  <c r="F8"/>
  <c r="F104" s="1"/>
  <c r="H8"/>
  <c r="J8"/>
  <c r="N8"/>
  <c r="P8"/>
  <c r="R8"/>
  <c r="G18"/>
  <c r="I18"/>
  <c r="K18"/>
  <c r="M18"/>
  <c r="O18"/>
  <c r="Q18"/>
  <c r="M71" i="32"/>
  <c r="H71"/>
  <c r="G70"/>
  <c r="C70" s="1"/>
  <c r="F61"/>
  <c r="C62"/>
  <c r="M45" i="27"/>
  <c r="F36" i="32"/>
  <c r="C20"/>
  <c r="G36"/>
  <c r="G35" s="1"/>
  <c r="G34" s="1"/>
  <c r="G8"/>
  <c r="G11" s="1"/>
  <c r="L8"/>
  <c r="L11" s="1"/>
  <c r="K7" s="1"/>
  <c r="L18"/>
  <c r="K36"/>
  <c r="H36" s="1"/>
  <c r="P36"/>
  <c r="Q8"/>
  <c r="Q11" s="1"/>
  <c r="M21"/>
  <c r="P13"/>
  <c r="M13" s="1"/>
  <c r="C15"/>
  <c r="H69" i="27"/>
  <c r="M74"/>
  <c r="M60"/>
  <c r="K73"/>
  <c r="M20"/>
  <c r="Q36"/>
  <c r="P36"/>
  <c r="H45"/>
  <c r="C45"/>
  <c r="H20"/>
  <c r="H13"/>
  <c r="C60"/>
  <c r="F19"/>
  <c r="Q18" i="32"/>
  <c r="Q35"/>
  <c r="Q34" s="1"/>
  <c r="R30" i="43"/>
  <c r="H19" i="32"/>
  <c r="AE37" i="19"/>
  <c r="H22" i="73"/>
  <c r="C24" i="27"/>
  <c r="D19"/>
  <c r="M29" i="32"/>
  <c r="O19"/>
  <c r="O36"/>
  <c r="C24"/>
  <c r="D36"/>
  <c r="F19"/>
  <c r="H13"/>
  <c r="I38" i="21"/>
  <c r="M29" i="27"/>
  <c r="L35" i="32"/>
  <c r="L34" s="1"/>
  <c r="D15" i="63"/>
  <c r="F10" i="50"/>
  <c r="F15" s="1"/>
  <c r="F17" s="1"/>
  <c r="H29" i="32"/>
  <c r="L19" i="27"/>
  <c r="L7" s="1"/>
  <c r="I36"/>
  <c r="H20" i="32"/>
  <c r="P19"/>
  <c r="N36"/>
  <c r="H19" i="21"/>
  <c r="D36" i="27"/>
  <c r="M24" i="32"/>
  <c r="K36" i="27"/>
  <c r="H29"/>
  <c r="F36"/>
  <c r="C29"/>
  <c r="J19"/>
  <c r="I19"/>
  <c r="I20" i="21"/>
  <c r="H35"/>
  <c r="N19" i="32"/>
  <c r="C55" i="27"/>
  <c r="H74"/>
  <c r="D74" i="32"/>
  <c r="R52" i="43"/>
  <c r="C74" i="27"/>
  <c r="D149" i="43"/>
  <c r="K42" i="72"/>
  <c r="J42"/>
  <c r="J17"/>
  <c r="R41" i="43"/>
  <c r="F6" i="45"/>
  <c r="E6"/>
  <c r="R60" i="43"/>
  <c r="R53"/>
  <c r="F32" i="72"/>
  <c r="K25"/>
  <c r="S6" i="59"/>
  <c r="J23" i="72"/>
  <c r="J21"/>
  <c r="J19"/>
  <c r="J15"/>
  <c r="J13"/>
  <c r="J11"/>
  <c r="J9"/>
  <c r="K24"/>
  <c r="K22"/>
  <c r="J48"/>
  <c r="J44"/>
  <c r="J38"/>
  <c r="J32"/>
  <c r="K49"/>
  <c r="K45"/>
  <c r="K41"/>
  <c r="K33"/>
  <c r="J20"/>
  <c r="J16"/>
  <c r="J14"/>
  <c r="J12"/>
  <c r="J10"/>
  <c r="J46"/>
  <c r="J40"/>
  <c r="J34"/>
  <c r="K30"/>
  <c r="K47"/>
  <c r="K39"/>
  <c r="K35"/>
  <c r="K31"/>
  <c r="H21" i="83"/>
  <c r="Q74" i="32" l="1"/>
  <c r="F39" i="72"/>
  <c r="F30"/>
  <c r="I30" s="1"/>
  <c r="F48"/>
  <c r="I48" s="1"/>
  <c r="H50"/>
  <c r="K50" s="1"/>
  <c r="F36"/>
  <c r="I32"/>
  <c r="P12" i="43"/>
  <c r="F47" i="72"/>
  <c r="I47" s="1"/>
  <c r="F44"/>
  <c r="I44" s="1"/>
  <c r="F46"/>
  <c r="I46" s="1"/>
  <c r="F50"/>
  <c r="I50" s="1"/>
  <c r="I36"/>
  <c r="F33"/>
  <c r="I33" s="1"/>
  <c r="F31"/>
  <c r="J50"/>
  <c r="I39"/>
  <c r="I42"/>
  <c r="I31"/>
  <c r="F41"/>
  <c r="I41" s="1"/>
  <c r="F42"/>
  <c r="F40"/>
  <c r="I40" s="1"/>
  <c r="F45"/>
  <c r="I45" s="1"/>
  <c r="F35"/>
  <c r="I35" s="1"/>
  <c r="I49"/>
  <c r="J36"/>
  <c r="G10"/>
  <c r="H18" i="21"/>
  <c r="I12" i="80"/>
  <c r="P10" i="43"/>
  <c r="P41" i="18"/>
  <c r="P49" s="1"/>
  <c r="E10" i="73"/>
  <c r="F10" s="1"/>
  <c r="G10"/>
  <c r="K104" i="80"/>
  <c r="E58" i="43"/>
  <c r="L34" i="47"/>
  <c r="V37" i="19"/>
  <c r="M12" i="43" s="1"/>
  <c r="M11"/>
  <c r="H31" i="66"/>
  <c r="G37" i="19"/>
  <c r="E12" i="43" s="1"/>
  <c r="E10"/>
  <c r="G41" i="18"/>
  <c r="G49" s="1"/>
  <c r="O12" i="43"/>
  <c r="O9" s="1"/>
  <c r="G25" i="10"/>
  <c r="F9" i="72"/>
  <c r="F7" i="32"/>
  <c r="F18" s="1"/>
  <c r="P7" i="27"/>
  <c r="F12" i="80"/>
  <c r="L15" i="63"/>
  <c r="AB41" i="18"/>
  <c r="E17" i="63"/>
  <c r="H17" s="1"/>
  <c r="AE41" i="18"/>
  <c r="C73" i="27"/>
  <c r="D23" i="61"/>
  <c r="H34" i="21"/>
  <c r="N130" i="43"/>
  <c r="E48" i="63"/>
  <c r="D78" i="43"/>
  <c r="D85" s="1"/>
  <c r="D161" s="1"/>
  <c r="D170" s="1"/>
  <c r="D100"/>
  <c r="H73" i="27"/>
  <c r="G18"/>
  <c r="Q18"/>
  <c r="G35"/>
  <c r="G34" s="1"/>
  <c r="F7"/>
  <c r="Q35"/>
  <c r="Q34" s="1"/>
  <c r="M75" i="32"/>
  <c r="M19" i="27"/>
  <c r="M4" s="1"/>
  <c r="G74" i="32"/>
  <c r="C75"/>
  <c r="C61"/>
  <c r="P74"/>
  <c r="C74"/>
  <c r="H74"/>
  <c r="H75"/>
  <c r="M49" i="18"/>
  <c r="M10" i="43"/>
  <c r="H14" i="63"/>
  <c r="N153" i="43"/>
  <c r="E7" i="63"/>
  <c r="F15"/>
  <c r="N152" i="43"/>
  <c r="M158"/>
  <c r="M148" s="1"/>
  <c r="L8" i="63"/>
  <c r="F9"/>
  <c r="O133" i="43"/>
  <c r="O139" s="1"/>
  <c r="M157"/>
  <c r="M147" s="1"/>
  <c r="I21" i="83"/>
  <c r="E23" i="63"/>
  <c r="S37" i="19"/>
  <c r="C78" i="43"/>
  <c r="C85" s="1"/>
  <c r="C90" s="1"/>
  <c r="I10" i="63"/>
  <c r="E16" i="73"/>
  <c r="F16" s="1"/>
  <c r="C22"/>
  <c r="G16"/>
  <c r="L105" i="80"/>
  <c r="M36" i="32"/>
  <c r="H4"/>
  <c r="L10" i="63"/>
  <c r="S105" i="80"/>
  <c r="S106"/>
  <c r="N128" i="43"/>
  <c r="O128" s="1"/>
  <c r="P128" s="1"/>
  <c r="K108" i="80"/>
  <c r="L106"/>
  <c r="R47" i="43"/>
  <c r="F23" i="72"/>
  <c r="F16"/>
  <c r="F22"/>
  <c r="F11"/>
  <c r="F21"/>
  <c r="F14"/>
  <c r="F24"/>
  <c r="F25"/>
  <c r="F13"/>
  <c r="F12"/>
  <c r="F26"/>
  <c r="F10"/>
  <c r="I10" s="1"/>
  <c r="F19"/>
  <c r="F15"/>
  <c r="F17"/>
  <c r="F20"/>
  <c r="D48" i="63"/>
  <c r="G23" i="72"/>
  <c r="G19"/>
  <c r="G14"/>
  <c r="G17"/>
  <c r="G22"/>
  <c r="H26"/>
  <c r="G13"/>
  <c r="G11"/>
  <c r="G25"/>
  <c r="G21"/>
  <c r="G12"/>
  <c r="G20"/>
  <c r="G26"/>
  <c r="G16"/>
  <c r="G24"/>
  <c r="G15"/>
  <c r="G9"/>
  <c r="I9" s="1"/>
  <c r="N12" i="43"/>
  <c r="N9" s="1"/>
  <c r="D13" i="63"/>
  <c r="K10"/>
  <c r="C169" i="43"/>
  <c r="D12" i="63"/>
  <c r="K12" s="1"/>
  <c r="K9"/>
  <c r="E13"/>
  <c r="H10"/>
  <c r="P22" i="80"/>
  <c r="D115"/>
  <c r="E9"/>
  <c r="E105" s="1"/>
  <c r="E13"/>
  <c r="V13" s="1"/>
  <c r="Q22"/>
  <c r="Q115"/>
  <c r="M22"/>
  <c r="M115"/>
  <c r="I22"/>
  <c r="I115"/>
  <c r="P12"/>
  <c r="P104"/>
  <c r="J12"/>
  <c r="J104"/>
  <c r="E19"/>
  <c r="E116" s="1"/>
  <c r="L116"/>
  <c r="V26"/>
  <c r="K118"/>
  <c r="V24"/>
  <c r="E119"/>
  <c r="H22"/>
  <c r="H115"/>
  <c r="J22"/>
  <c r="J115"/>
  <c r="O12"/>
  <c r="O104"/>
  <c r="S8"/>
  <c r="O22"/>
  <c r="O115"/>
  <c r="K22"/>
  <c r="K115"/>
  <c r="G22"/>
  <c r="G115"/>
  <c r="R12"/>
  <c r="R104"/>
  <c r="N12"/>
  <c r="N104"/>
  <c r="H12"/>
  <c r="H104"/>
  <c r="D12"/>
  <c r="D107"/>
  <c r="C122"/>
  <c r="D104"/>
  <c r="M12"/>
  <c r="M104"/>
  <c r="V25"/>
  <c r="E120"/>
  <c r="E23"/>
  <c r="L117"/>
  <c r="Q12"/>
  <c r="Q104"/>
  <c r="V15"/>
  <c r="E110"/>
  <c r="G12"/>
  <c r="G104"/>
  <c r="L18"/>
  <c r="L115" s="1"/>
  <c r="V19"/>
  <c r="S18"/>
  <c r="L8"/>
  <c r="V9"/>
  <c r="C36" i="32"/>
  <c r="P7"/>
  <c r="P35" s="1"/>
  <c r="P34" s="1"/>
  <c r="M36" i="27"/>
  <c r="F18"/>
  <c r="F8"/>
  <c r="F10" s="1"/>
  <c r="E7" s="1"/>
  <c r="E18" s="1"/>
  <c r="F35"/>
  <c r="F34" s="1"/>
  <c r="R48" i="43"/>
  <c r="I8" i="72"/>
  <c r="M19" i="32"/>
  <c r="M4" s="1"/>
  <c r="I35" i="21"/>
  <c r="I34" s="1"/>
  <c r="I19"/>
  <c r="I18" s="1"/>
  <c r="H36" i="27"/>
  <c r="R45" i="43"/>
  <c r="F35" i="32"/>
  <c r="F34" s="1"/>
  <c r="C19" i="27"/>
  <c r="C4" s="1"/>
  <c r="L9" i="63"/>
  <c r="H9"/>
  <c r="E12"/>
  <c r="R58" i="43"/>
  <c r="H19" i="27"/>
  <c r="H4" s="1"/>
  <c r="C36"/>
  <c r="L35"/>
  <c r="L34" s="1"/>
  <c r="L8"/>
  <c r="L11" s="1"/>
  <c r="K7" s="1"/>
  <c r="L18"/>
  <c r="K15" i="63"/>
  <c r="R91" i="43"/>
  <c r="P35" i="27"/>
  <c r="P34" s="1"/>
  <c r="P18"/>
  <c r="P8"/>
  <c r="P10" s="1"/>
  <c r="O7" s="1"/>
  <c r="C19" i="32"/>
  <c r="C4" s="1"/>
  <c r="K18"/>
  <c r="K35"/>
  <c r="K34" s="1"/>
  <c r="K8"/>
  <c r="K10" s="1"/>
  <c r="J7" s="1"/>
  <c r="R28" i="43"/>
  <c r="M74" i="32" l="1"/>
  <c r="P9" i="43"/>
  <c r="I16" i="72"/>
  <c r="H7" i="63"/>
  <c r="E11"/>
  <c r="K11" s="1"/>
  <c r="H15"/>
  <c r="N58" i="43"/>
  <c r="M51"/>
  <c r="F8" i="32"/>
  <c r="F10" s="1"/>
  <c r="E7" s="1"/>
  <c r="I24" i="72"/>
  <c r="I13"/>
  <c r="I25"/>
  <c r="I19"/>
  <c r="G13" i="60"/>
  <c r="G19" s="1"/>
  <c r="P18" i="32"/>
  <c r="I21" i="72"/>
  <c r="I26"/>
  <c r="I22"/>
  <c r="E9" i="43"/>
  <c r="M9"/>
  <c r="N14" s="1"/>
  <c r="N15" s="1"/>
  <c r="I15" i="63"/>
  <c r="P14" i="43"/>
  <c r="P15" s="1"/>
  <c r="D90"/>
  <c r="D165" s="1"/>
  <c r="K17" i="63"/>
  <c r="D164" i="43"/>
  <c r="F12" i="63"/>
  <c r="I12" s="1"/>
  <c r="F17"/>
  <c r="L17" s="1"/>
  <c r="E35" i="27"/>
  <c r="E34" s="1"/>
  <c r="I12" i="72"/>
  <c r="I20"/>
  <c r="I11"/>
  <c r="I17"/>
  <c r="D24" i="61"/>
  <c r="M126" i="43"/>
  <c r="G16" i="63" s="1"/>
  <c r="O130" i="43"/>
  <c r="F48" i="63"/>
  <c r="K7"/>
  <c r="M129" i="43"/>
  <c r="E8" i="27"/>
  <c r="E9" s="1"/>
  <c r="D7" s="1"/>
  <c r="D35" s="1"/>
  <c r="O14" i="43"/>
  <c r="O15" s="1"/>
  <c r="F7" i="63"/>
  <c r="L14"/>
  <c r="I14"/>
  <c r="N158" i="43"/>
  <c r="N148" s="1"/>
  <c r="C161"/>
  <c r="C170" s="1"/>
  <c r="N157"/>
  <c r="N147" s="1"/>
  <c r="I9" i="63"/>
  <c r="C95" i="43"/>
  <c r="C93"/>
  <c r="C98" s="1"/>
  <c r="C165"/>
  <c r="C162"/>
  <c r="C171" s="1"/>
  <c r="C164"/>
  <c r="K13" i="63"/>
  <c r="L104" i="80"/>
  <c r="S12"/>
  <c r="I14" i="72"/>
  <c r="I23"/>
  <c r="J26"/>
  <c r="K26"/>
  <c r="I15"/>
  <c r="G22" i="73"/>
  <c r="E22"/>
  <c r="F22" s="1"/>
  <c r="L13" i="63"/>
  <c r="I13"/>
  <c r="H13"/>
  <c r="C167" i="43"/>
  <c r="P8" i="32"/>
  <c r="P10" s="1"/>
  <c r="O7" s="1"/>
  <c r="E106" i="80"/>
  <c r="E108"/>
  <c r="S22"/>
  <c r="S115"/>
  <c r="S104"/>
  <c r="V23"/>
  <c r="E118"/>
  <c r="E117"/>
  <c r="E8"/>
  <c r="L12"/>
  <c r="E18"/>
  <c r="E115" s="1"/>
  <c r="L22"/>
  <c r="O18" i="27"/>
  <c r="O8"/>
  <c r="O9" s="1"/>
  <c r="N7" s="1"/>
  <c r="O35"/>
  <c r="O34" s="1"/>
  <c r="R51" i="43"/>
  <c r="O35" i="32"/>
  <c r="O34" s="1"/>
  <c r="O18"/>
  <c r="O8"/>
  <c r="O9" s="1"/>
  <c r="N7" s="1"/>
  <c r="J8"/>
  <c r="J9" s="1"/>
  <c r="I7" s="1"/>
  <c r="J35"/>
  <c r="J34" s="1"/>
  <c r="J18"/>
  <c r="O152" i="43"/>
  <c r="O153"/>
  <c r="P133"/>
  <c r="P139" s="1"/>
  <c r="K35" i="27"/>
  <c r="K34" s="1"/>
  <c r="K18"/>
  <c r="K8"/>
  <c r="K10" s="1"/>
  <c r="J7" s="1"/>
  <c r="L12" i="63"/>
  <c r="H12"/>
  <c r="E8" i="32"/>
  <c r="E9" s="1"/>
  <c r="D7" s="1"/>
  <c r="E18"/>
  <c r="E35"/>
  <c r="E34" s="1"/>
  <c r="E9" i="69" l="1"/>
  <c r="E12" s="1"/>
  <c r="O58" i="43"/>
  <c r="N51"/>
  <c r="C44" i="66"/>
  <c r="E44" s="1"/>
  <c r="D18" i="27"/>
  <c r="D20" i="63"/>
  <c r="M14" i="43"/>
  <c r="M15" s="1"/>
  <c r="D162"/>
  <c r="D171" s="1"/>
  <c r="D95"/>
  <c r="D166" s="1"/>
  <c r="D93"/>
  <c r="D98" s="1"/>
  <c r="P129"/>
  <c r="I17" i="63"/>
  <c r="O129" i="43"/>
  <c r="H11" i="63"/>
  <c r="N129" i="43"/>
  <c r="D25" i="61"/>
  <c r="N107" i="43"/>
  <c r="O107" s="1"/>
  <c r="P107" s="1"/>
  <c r="N104"/>
  <c r="O104" s="1"/>
  <c r="P104" s="1"/>
  <c r="M102"/>
  <c r="P130"/>
  <c r="H48" i="63" s="1"/>
  <c r="G48"/>
  <c r="O127" i="43"/>
  <c r="N126"/>
  <c r="N123"/>
  <c r="M160"/>
  <c r="N122"/>
  <c r="M119"/>
  <c r="AB119" s="1"/>
  <c r="M159"/>
  <c r="N117"/>
  <c r="M154"/>
  <c r="M112"/>
  <c r="AB112" s="1"/>
  <c r="M114"/>
  <c r="N118"/>
  <c r="M113"/>
  <c r="AB113" s="1"/>
  <c r="M155"/>
  <c r="F11" i="63"/>
  <c r="L7"/>
  <c r="I7"/>
  <c r="C99" i="43"/>
  <c r="C94"/>
  <c r="C166"/>
  <c r="C163"/>
  <c r="C172" s="1"/>
  <c r="E11" i="10"/>
  <c r="E12" s="1"/>
  <c r="D19" i="63"/>
  <c r="D23"/>
  <c r="F23"/>
  <c r="L23" s="1"/>
  <c r="L22"/>
  <c r="I22"/>
  <c r="R107" i="43"/>
  <c r="K22" i="63"/>
  <c r="H22"/>
  <c r="E107" i="80"/>
  <c r="D122"/>
  <c r="E104"/>
  <c r="C103"/>
  <c r="R104" i="43"/>
  <c r="V18" i="80"/>
  <c r="E22"/>
  <c r="R103" i="43"/>
  <c r="V8" i="80"/>
  <c r="E12"/>
  <c r="I18" i="32"/>
  <c r="I35"/>
  <c r="N18" i="27"/>
  <c r="N35"/>
  <c r="D35" i="32"/>
  <c r="D18"/>
  <c r="J35" i="27"/>
  <c r="J34" s="1"/>
  <c r="J8"/>
  <c r="J9" s="1"/>
  <c r="I7" s="1"/>
  <c r="J18"/>
  <c r="O158" i="43"/>
  <c r="O148" s="1"/>
  <c r="O157"/>
  <c r="N18" i="32"/>
  <c r="N35"/>
  <c r="C35" i="27"/>
  <c r="D34"/>
  <c r="C34" s="1"/>
  <c r="E50" i="63" l="1"/>
  <c r="AB102" i="43"/>
  <c r="M109"/>
  <c r="AB114"/>
  <c r="H78"/>
  <c r="H83" s="1"/>
  <c r="H85" s="1"/>
  <c r="H161" s="1"/>
  <c r="M74"/>
  <c r="E21" i="63"/>
  <c r="M45" i="43"/>
  <c r="N45" s="1"/>
  <c r="O45" s="1"/>
  <c r="P45" s="1"/>
  <c r="M42"/>
  <c r="M60"/>
  <c r="N60" s="1"/>
  <c r="O60" s="1"/>
  <c r="P60" s="1"/>
  <c r="M47"/>
  <c r="N47" s="1"/>
  <c r="O47" s="1"/>
  <c r="P47" s="1"/>
  <c r="M46"/>
  <c r="M91" s="1"/>
  <c r="P58"/>
  <c r="P51" s="1"/>
  <c r="O51"/>
  <c r="D163"/>
  <c r="D172" s="1"/>
  <c r="D99"/>
  <c r="H44" i="66"/>
  <c r="H52" s="1"/>
  <c r="E52"/>
  <c r="D94" i="43"/>
  <c r="D26" i="61"/>
  <c r="N106" i="43"/>
  <c r="M105"/>
  <c r="M124" s="1"/>
  <c r="P127"/>
  <c r="P126" s="1"/>
  <c r="O126"/>
  <c r="O103"/>
  <c r="N102"/>
  <c r="F50" i="63" s="1"/>
  <c r="E52"/>
  <c r="M151" i="43"/>
  <c r="M168" s="1"/>
  <c r="M149"/>
  <c r="M156"/>
  <c r="M169" s="1"/>
  <c r="O122"/>
  <c r="N119"/>
  <c r="N159"/>
  <c r="O123"/>
  <c r="N160"/>
  <c r="O118"/>
  <c r="N113"/>
  <c r="N155"/>
  <c r="O117"/>
  <c r="N112"/>
  <c r="N114"/>
  <c r="N154"/>
  <c r="N151" s="1"/>
  <c r="N168" s="1"/>
  <c r="M150"/>
  <c r="I11" i="63"/>
  <c r="L11"/>
  <c r="D12" i="10"/>
  <c r="D15" s="1"/>
  <c r="E21"/>
  <c r="E15"/>
  <c r="E18" s="1"/>
  <c r="E24"/>
  <c r="K23" i="63"/>
  <c r="H23"/>
  <c r="R106" i="43"/>
  <c r="I23" i="63"/>
  <c r="R102" i="43"/>
  <c r="D50" i="63"/>
  <c r="N34" i="27"/>
  <c r="M34" s="1"/>
  <c r="M35"/>
  <c r="O147" i="43"/>
  <c r="N34" i="32"/>
  <c r="M34" s="1"/>
  <c r="M35"/>
  <c r="P153" i="43"/>
  <c r="P152"/>
  <c r="D34" i="32"/>
  <c r="C34" s="1"/>
  <c r="C35"/>
  <c r="I18" i="27"/>
  <c r="I35"/>
  <c r="H35" i="32"/>
  <c r="I34"/>
  <c r="H34" s="1"/>
  <c r="G10" i="63" l="1"/>
  <c r="AB109" i="43"/>
  <c r="K21" i="63"/>
  <c r="H21"/>
  <c r="E20"/>
  <c r="E19"/>
  <c r="N46" i="43"/>
  <c r="O46" s="1"/>
  <c r="G6" i="10"/>
  <c r="J21" i="65"/>
  <c r="G52" i="66"/>
  <c r="D27" i="61"/>
  <c r="P103" i="43"/>
  <c r="P102" s="1"/>
  <c r="H50" i="63" s="1"/>
  <c r="O102" i="43"/>
  <c r="G50" i="63" s="1"/>
  <c r="O106" i="43"/>
  <c r="N105"/>
  <c r="N109"/>
  <c r="F52" i="63" s="1"/>
  <c r="N150" i="43"/>
  <c r="P117"/>
  <c r="O112"/>
  <c r="O114"/>
  <c r="O154"/>
  <c r="N149"/>
  <c r="N156"/>
  <c r="N169" s="1"/>
  <c r="P122"/>
  <c r="P159" s="1"/>
  <c r="O119"/>
  <c r="O159"/>
  <c r="P118"/>
  <c r="O113"/>
  <c r="O155"/>
  <c r="P123"/>
  <c r="P160" s="1"/>
  <c r="O160"/>
  <c r="M132"/>
  <c r="D24" i="10"/>
  <c r="D18"/>
  <c r="D21"/>
  <c r="E25"/>
  <c r="E26" s="1"/>
  <c r="D52" i="63"/>
  <c r="J16"/>
  <c r="M16"/>
  <c r="R105" i="43"/>
  <c r="I34" i="27"/>
  <c r="H34" s="1"/>
  <c r="H35"/>
  <c r="P158" i="43"/>
  <c r="P148" s="1"/>
  <c r="P157"/>
  <c r="P147" s="1"/>
  <c r="N91" l="1"/>
  <c r="H20" i="63"/>
  <c r="K20"/>
  <c r="K19"/>
  <c r="H19"/>
  <c r="N124" i="43"/>
  <c r="M146"/>
  <c r="G26" i="10"/>
  <c r="H25" i="65"/>
  <c r="H24"/>
  <c r="G10" i="10"/>
  <c r="Q30"/>
  <c r="O150" i="43"/>
  <c r="D28" i="61"/>
  <c r="P106" i="43"/>
  <c r="P105" s="1"/>
  <c r="O105"/>
  <c r="O124" s="1"/>
  <c r="N132"/>
  <c r="N145" s="1"/>
  <c r="O156"/>
  <c r="O169" s="1"/>
  <c r="O109"/>
  <c r="G52" i="63" s="1"/>
  <c r="M125" i="43"/>
  <c r="P119"/>
  <c r="P112"/>
  <c r="P114"/>
  <c r="P154"/>
  <c r="P149" s="1"/>
  <c r="P113"/>
  <c r="P155"/>
  <c r="P150" s="1"/>
  <c r="O151"/>
  <c r="O168" s="1"/>
  <c r="O149"/>
  <c r="D25" i="10"/>
  <c r="D26" s="1"/>
  <c r="P46" i="43"/>
  <c r="P91" s="1"/>
  <c r="O91"/>
  <c r="M145"/>
  <c r="M10" i="63"/>
  <c r="J10"/>
  <c r="G13"/>
  <c r="P156" i="43"/>
  <c r="P169" s="1"/>
  <c r="G22" i="63" l="1"/>
  <c r="S146" i="43"/>
  <c r="E51" i="63"/>
  <c r="G14"/>
  <c r="N108" i="43"/>
  <c r="M22"/>
  <c r="N22" s="1"/>
  <c r="O22" s="1"/>
  <c r="P22" s="1"/>
  <c r="R30" i="10"/>
  <c r="R31"/>
  <c r="G23" i="63"/>
  <c r="M23" s="1"/>
  <c r="D16" i="74"/>
  <c r="M167" i="43"/>
  <c r="D17" i="74" s="1"/>
  <c r="P109" i="43"/>
  <c r="H52" i="63" s="1"/>
  <c r="D29" i="61"/>
  <c r="N146" i="43"/>
  <c r="O132"/>
  <c r="P151"/>
  <c r="P168" s="1"/>
  <c r="O108"/>
  <c r="N125"/>
  <c r="F51" i="63" s="1"/>
  <c r="M8"/>
  <c r="J8"/>
  <c r="G9"/>
  <c r="D51"/>
  <c r="M177" i="43"/>
  <c r="K177"/>
  <c r="M9" i="63"/>
  <c r="J13"/>
  <c r="M13"/>
  <c r="P124" i="43" l="1"/>
  <c r="Q31" i="10"/>
  <c r="M22" i="63"/>
  <c r="J23"/>
  <c r="J22"/>
  <c r="N177" i="43"/>
  <c r="N167"/>
  <c r="D18" i="74" s="1"/>
  <c r="D30" i="61"/>
  <c r="J9" i="63"/>
  <c r="P132" i="43"/>
  <c r="P108"/>
  <c r="P125" s="1"/>
  <c r="H51" i="63" s="1"/>
  <c r="O125" i="43"/>
  <c r="G51" i="63" s="1"/>
  <c r="O145" i="43"/>
  <c r="O146"/>
  <c r="M14" i="63"/>
  <c r="J14"/>
  <c r="G15"/>
  <c r="G12" s="1"/>
  <c r="J12" s="1"/>
  <c r="G17"/>
  <c r="G7"/>
  <c r="M12"/>
  <c r="H31" i="61" l="1"/>
  <c r="O167" i="43"/>
  <c r="D19" i="74" s="1"/>
  <c r="J15" i="63"/>
  <c r="M15"/>
  <c r="O177" i="43"/>
  <c r="P145"/>
  <c r="P146"/>
  <c r="P167" s="1"/>
  <c r="J17" i="63"/>
  <c r="M17"/>
  <c r="G11"/>
  <c r="J7"/>
  <c r="M7"/>
  <c r="R74" i="43" l="1"/>
  <c r="P177"/>
  <c r="D20" i="74"/>
  <c r="M11" i="63"/>
  <c r="J11"/>
  <c r="F11" i="21" l="1"/>
  <c r="G10"/>
  <c r="H10" l="1"/>
  <c r="G11"/>
  <c r="H11" l="1"/>
  <c r="R63" i="43" s="1"/>
  <c r="I10" i="21"/>
  <c r="M67" i="43" l="1"/>
  <c r="R67"/>
  <c r="M66"/>
  <c r="R66"/>
  <c r="I11" i="21"/>
  <c r="J10"/>
  <c r="N66" i="43" l="1"/>
  <c r="N67"/>
  <c r="J11" i="21"/>
  <c r="K10"/>
  <c r="K11" s="1"/>
  <c r="O67" i="43" l="1"/>
  <c r="P67" s="1"/>
  <c r="O66"/>
  <c r="P66" s="1"/>
  <c r="R50" l="1"/>
  <c r="I6" i="59"/>
  <c r="I5" s="1"/>
  <c r="F21" i="10" l="1"/>
  <c r="F24" l="1"/>
  <c r="F15"/>
  <c r="F18" s="1"/>
  <c r="F25" l="1"/>
  <c r="F26" s="1"/>
  <c r="R27" i="43" l="1"/>
  <c r="R59"/>
  <c r="M18" l="1"/>
  <c r="R18"/>
  <c r="C27" i="74"/>
  <c r="M23" i="43"/>
  <c r="C28" i="74" s="1"/>
  <c r="R100" i="43"/>
  <c r="R23"/>
  <c r="R73"/>
  <c r="N18" l="1"/>
  <c r="M100"/>
  <c r="N42"/>
  <c r="M59"/>
  <c r="M44" s="1"/>
  <c r="N23"/>
  <c r="C29" i="74" s="1"/>
  <c r="R81" i="43"/>
  <c r="R44"/>
  <c r="R80"/>
  <c r="M78" l="1"/>
  <c r="F21" i="63"/>
  <c r="L21" s="1"/>
  <c r="O18" i="43"/>
  <c r="N100"/>
  <c r="N59"/>
  <c r="O42"/>
  <c r="O23"/>
  <c r="C30" i="74" s="1"/>
  <c r="R82" i="43"/>
  <c r="C36" i="74"/>
  <c r="R86" i="43"/>
  <c r="R79"/>
  <c r="C16" i="74"/>
  <c r="R88" i="43"/>
  <c r="K176"/>
  <c r="R85"/>
  <c r="P23" l="1"/>
  <c r="M83"/>
  <c r="C37" i="74" s="1"/>
  <c r="R78" i="43"/>
  <c r="M79"/>
  <c r="M86" s="1"/>
  <c r="M96" s="1"/>
  <c r="M73"/>
  <c r="M85"/>
  <c r="M161" s="1"/>
  <c r="M170" s="1"/>
  <c r="M81"/>
  <c r="M88" s="1"/>
  <c r="M80"/>
  <c r="M87" s="1"/>
  <c r="M164"/>
  <c r="C17" i="74" s="1"/>
  <c r="I21" i="63"/>
  <c r="F19"/>
  <c r="F20"/>
  <c r="P18" i="43"/>
  <c r="P100" s="1"/>
  <c r="O100"/>
  <c r="O59"/>
  <c r="P42"/>
  <c r="P59" s="1"/>
  <c r="R89"/>
  <c r="R96"/>
  <c r="M90"/>
  <c r="C31" i="74"/>
  <c r="R87" i="43"/>
  <c r="R90"/>
  <c r="R92"/>
  <c r="K175"/>
  <c r="M176" l="1"/>
  <c r="G21" i="63"/>
  <c r="G20" s="1"/>
  <c r="M20" s="1"/>
  <c r="M82" i="43"/>
  <c r="M89" s="1"/>
  <c r="L20" i="63"/>
  <c r="I20"/>
  <c r="L19"/>
  <c r="I19"/>
  <c r="R95" i="43"/>
  <c r="M95"/>
  <c r="M166" s="1"/>
  <c r="M165"/>
  <c r="R97"/>
  <c r="K174"/>
  <c r="E16" i="74"/>
  <c r="M162" i="43"/>
  <c r="M171" s="1"/>
  <c r="M92"/>
  <c r="M97" s="1"/>
  <c r="M93"/>
  <c r="M98" s="1"/>
  <c r="R93"/>
  <c r="R98"/>
  <c r="M175"/>
  <c r="J21" i="63" l="1"/>
  <c r="M21"/>
  <c r="J20"/>
  <c r="G19"/>
  <c r="M19" s="1"/>
  <c r="M163" i="43"/>
  <c r="M172" s="1"/>
  <c r="M94"/>
  <c r="M99" s="1"/>
  <c r="R94"/>
  <c r="R99"/>
  <c r="M174"/>
  <c r="E17" i="74"/>
  <c r="P44" i="43"/>
  <c r="P78" s="1"/>
  <c r="N44"/>
  <c r="N78" s="1"/>
  <c r="J19" i="63" l="1"/>
  <c r="N83" i="43"/>
  <c r="N80"/>
  <c r="N87" s="1"/>
  <c r="N73"/>
  <c r="N79"/>
  <c r="N86" s="1"/>
  <c r="N96" s="1"/>
  <c r="N81"/>
  <c r="N88" s="1"/>
  <c r="P81"/>
  <c r="P88" s="1"/>
  <c r="P80"/>
  <c r="P87" s="1"/>
  <c r="P79"/>
  <c r="P86" s="1"/>
  <c r="P96" s="1"/>
  <c r="P83"/>
  <c r="P73"/>
  <c r="O44"/>
  <c r="O78" s="1"/>
  <c r="O83" l="1"/>
  <c r="O79"/>
  <c r="O86" s="1"/>
  <c r="O96" s="1"/>
  <c r="O81"/>
  <c r="O88" s="1"/>
  <c r="O80"/>
  <c r="O87" s="1"/>
  <c r="O73"/>
  <c r="C40" i="74"/>
  <c r="P85" i="43"/>
  <c r="P82"/>
  <c r="P89" s="1"/>
  <c r="N82"/>
  <c r="N89" s="1"/>
  <c r="C38" i="74"/>
  <c r="N85" i="43"/>
  <c r="P90" l="1"/>
  <c r="P161"/>
  <c r="P164"/>
  <c r="C20" i="74" s="1"/>
  <c r="N164" i="43"/>
  <c r="C18" i="74" s="1"/>
  <c r="N176" i="43"/>
  <c r="N90"/>
  <c r="N95" s="1"/>
  <c r="N161"/>
  <c r="O82"/>
  <c r="O89" s="1"/>
  <c r="O85"/>
  <c r="C39" i="74"/>
  <c r="O161" i="43" l="1"/>
  <c r="O90"/>
  <c r="O164"/>
  <c r="C19" i="74" s="1"/>
  <c r="O176" i="43"/>
  <c r="P175"/>
  <c r="P170"/>
  <c r="N175"/>
  <c r="N170"/>
  <c r="N166"/>
  <c r="N163"/>
  <c r="N172" s="1"/>
  <c r="P93"/>
  <c r="P98" s="1"/>
  <c r="P92"/>
  <c r="P97" s="1"/>
  <c r="P165"/>
  <c r="P162"/>
  <c r="P171" s="1"/>
  <c r="N162"/>
  <c r="N171" s="1"/>
  <c r="N93"/>
  <c r="N98" s="1"/>
  <c r="N92"/>
  <c r="N97" s="1"/>
  <c r="N165"/>
  <c r="P176"/>
  <c r="P95"/>
  <c r="P94" l="1"/>
  <c r="P99" s="1"/>
  <c r="N94"/>
  <c r="N99" s="1"/>
  <c r="E20" i="74"/>
  <c r="O165" i="43"/>
  <c r="O92"/>
  <c r="O97" s="1"/>
  <c r="O93"/>
  <c r="O98" s="1"/>
  <c r="O162"/>
  <c r="O171" s="1"/>
  <c r="O170"/>
  <c r="P174" s="1"/>
  <c r="O175"/>
  <c r="P166"/>
  <c r="P163"/>
  <c r="P172" s="1"/>
  <c r="E18" i="74"/>
  <c r="N174" i="43"/>
  <c r="O95"/>
  <c r="E19" i="74" l="1"/>
  <c r="O174" i="43"/>
  <c r="O166"/>
  <c r="O163"/>
  <c r="O172" s="1"/>
  <c r="O94"/>
  <c r="O99" s="1"/>
</calcChain>
</file>

<file path=xl/sharedStrings.xml><?xml version="1.0" encoding="utf-8"?>
<sst xmlns="http://schemas.openxmlformats.org/spreadsheetml/2006/main" count="3331" uniqueCount="1516">
  <si>
    <t>заявленная (расчетная) мощность потребителей оптового рынка (указать):</t>
  </si>
  <si>
    <t>мощность на собственные производственные и хозяйственные нужды</t>
  </si>
  <si>
    <t>в другие сетевые организации (транзит, указать организации):</t>
  </si>
  <si>
    <t>тыс.кВт</t>
  </si>
  <si>
    <t>ОАО "РЭСК"</t>
  </si>
  <si>
    <t>Таблица № 1.5.</t>
  </si>
  <si>
    <t>1.3</t>
  </si>
  <si>
    <t>1.4</t>
  </si>
  <si>
    <t>4.3.</t>
  </si>
  <si>
    <t>Суммарный полезный отпуск на сторону</t>
  </si>
  <si>
    <t>Потери, отнесенные на сторонних потребителей</t>
  </si>
  <si>
    <t>Расчетное поступление в сеть для сторонних потребителей</t>
  </si>
  <si>
    <t>Расчетное поступление мощности для сторонних потребителей</t>
  </si>
  <si>
    <t>Суммарная мощность на сторону</t>
  </si>
  <si>
    <t>(наименование сетевой организации)</t>
  </si>
  <si>
    <t>Сводный коэффициент индексации</t>
  </si>
  <si>
    <t>в т.ч. поступление отнесенное на сторонних</t>
  </si>
  <si>
    <t>2.3</t>
  </si>
  <si>
    <t>2.4</t>
  </si>
  <si>
    <t>2.5</t>
  </si>
  <si>
    <t>2.6</t>
  </si>
  <si>
    <t>3</t>
  </si>
  <si>
    <t>Коэффициент элластичности ПР (Кэл) ( на первый долгосрочный период -0,75)</t>
  </si>
  <si>
    <t>Индекс потребительских цен (I)</t>
  </si>
  <si>
    <t>Количество активов (уе)</t>
  </si>
  <si>
    <t>Индекс изменения количества активов</t>
  </si>
  <si>
    <t>Коэффициент корректировки НВВ с учетом надежности и качества услуг, % (Кнад)</t>
  </si>
  <si>
    <t>Индекс роста цен на электрическую энергию</t>
  </si>
  <si>
    <t>Неподконтрольные расходы (НР) тыс.руб.:</t>
  </si>
  <si>
    <t>Итого НВВ (без учета оплаты потерь) тыс.руб.</t>
  </si>
  <si>
    <t>Итого НВВ на сторонних (без учета оплаты потерь) тыс.руб.</t>
  </si>
  <si>
    <t>Поступление в сеть, тыс.кВт.ч</t>
  </si>
  <si>
    <t>Технологический расход (потерь) электрической энергии тыс.кВт.ч</t>
  </si>
  <si>
    <t>Величина полезного отпуска электрической энергии, тыс.кВт.ч</t>
  </si>
  <si>
    <t>НВВ в части оплаты потерь (на сторонних) тыс.руб.</t>
  </si>
  <si>
    <t>НВВ на сторонних (с учетом оплаты потерь) тыс.руб.</t>
  </si>
  <si>
    <t>аммортизация  тыс.руб.</t>
  </si>
  <si>
    <t>капвложения из прибыли  тыс.руб.</t>
  </si>
  <si>
    <t>заемные средства  тыс.руб.</t>
  </si>
  <si>
    <t>техприсоединение  тыс.руб.</t>
  </si>
  <si>
    <t>прочее   тыс.руб.</t>
  </si>
  <si>
    <t>ремонт основных средств</t>
  </si>
  <si>
    <t>Расходы долгосрочного периода регулирования, связанные с компенсацией незапланированных расходов (со знаком "плюс") или полученного избытка (со знаком "минус"), выявленных по итогам последнего истекшего года долгосрочного периода регулирования тыс.руб.</t>
  </si>
  <si>
    <t>Корректировка необходимой валовой выручки, осуществляемая с учетом достижения установленного уровня надежности и качества услуг  тыс.руб.</t>
  </si>
  <si>
    <t>6</t>
  </si>
  <si>
    <t>7</t>
  </si>
  <si>
    <t>8</t>
  </si>
  <si>
    <t>Величина присоединенной мощности  МВА</t>
  </si>
  <si>
    <t>Базовый уровень подконтрольных расходов, отнесенных на сторонних потребителей</t>
  </si>
  <si>
    <t>Материальные затраты</t>
  </si>
  <si>
    <t>1.1.1</t>
  </si>
  <si>
    <t>Сырье, материалы,запасные части, инструмент,топливо</t>
  </si>
  <si>
    <t>1.1.2</t>
  </si>
  <si>
    <t>Работы и услуги производственного характера( в т.ч. Услуги сторонних организаций по содержанию сетей и распределительных устройств)</t>
  </si>
  <si>
    <t>Расходы на оплату труда</t>
  </si>
  <si>
    <t>Прочие расходы, всего, в т.ч:</t>
  </si>
  <si>
    <t>1.3.1</t>
  </si>
  <si>
    <t>1.3.2</t>
  </si>
  <si>
    <t>Оплата работ и услуг сторонних организаций</t>
  </si>
  <si>
    <t>1.3.2.1</t>
  </si>
  <si>
    <t>услуги связи</t>
  </si>
  <si>
    <t>Расходы на услуги внедедомственной охраны и коммунального хозяйства</t>
  </si>
  <si>
    <t>1.3.2.2</t>
  </si>
  <si>
    <t>1.3.2.3</t>
  </si>
  <si>
    <t>Расходы на юридические и информационные услуги</t>
  </si>
  <si>
    <t>1.3.2.4</t>
  </si>
  <si>
    <t>Расходы на аудиторские и консультационные услуги</t>
  </si>
  <si>
    <t>1.3.2.5</t>
  </si>
  <si>
    <t>Транспортные услуги</t>
  </si>
  <si>
    <t>1.3.2.6</t>
  </si>
  <si>
    <t>Прочие услуги сторонних организаций</t>
  </si>
  <si>
    <t>1.3.3</t>
  </si>
  <si>
    <t>Расходы на командировки и представительские</t>
  </si>
  <si>
    <t>1.3.4</t>
  </si>
  <si>
    <t>Расходы на подготовку кадров</t>
  </si>
  <si>
    <t>1.3.5</t>
  </si>
  <si>
    <t>Расходы на обеспечение нормальных условий труда и мер по технике безопасности</t>
  </si>
  <si>
    <t xml:space="preserve">1.3.6 </t>
  </si>
  <si>
    <t>Расходы на страхование</t>
  </si>
  <si>
    <t>1.3.7</t>
  </si>
  <si>
    <t>Другие прочие расходы</t>
  </si>
  <si>
    <t>Подконтрольные расходы из прибыли</t>
  </si>
  <si>
    <t>ИТОГО подконтрольные расходы (ПР) тыс.руб</t>
  </si>
  <si>
    <t>Расчет подконтрольных расходов</t>
  </si>
  <si>
    <t>Расчет  неподконтрольных расходов</t>
  </si>
  <si>
    <t>Оплата услуг ОАО "ФСК ЕЭС"</t>
  </si>
  <si>
    <t>Электроэнергия на хоз. нужды</t>
  </si>
  <si>
    <t>Налоги всего, в т.ч.:</t>
  </si>
  <si>
    <t>2.5.1</t>
  </si>
  <si>
    <t>Плата за землю</t>
  </si>
  <si>
    <t>2.5.2</t>
  </si>
  <si>
    <t>налог на имущество</t>
  </si>
  <si>
    <t>2.5.3</t>
  </si>
  <si>
    <t>прочие налоги и сборы</t>
  </si>
  <si>
    <t>Отчисления на социальные нужды</t>
  </si>
  <si>
    <t>Прочие неподконтрольные расходы</t>
  </si>
  <si>
    <t>2.7</t>
  </si>
  <si>
    <t>2.8</t>
  </si>
  <si>
    <t>Налог на прибыль</t>
  </si>
  <si>
    <t>2.9</t>
  </si>
  <si>
    <t>2.10</t>
  </si>
  <si>
    <t>Аммортизация ОС</t>
  </si>
  <si>
    <t>2.11</t>
  </si>
  <si>
    <t>Прибыль на капитальные вложения</t>
  </si>
  <si>
    <t>Проверка прибыли на капвложения( не более  12% от НВВ на содержание сетей)</t>
  </si>
  <si>
    <t>Перечень необходимой документации, подаваемой организацией, оказывающей услуги по передаче электроэнергии, в  ГУ РЭК Рязанской области для установления тарифов на услуги по передаче электроэнергии.</t>
  </si>
  <si>
    <t>Рязанской области</t>
  </si>
  <si>
    <t>Год</t>
  </si>
  <si>
    <t>Двухставочный тариф</t>
  </si>
  <si>
    <t>Одноставочный тариф</t>
  </si>
  <si>
    <t>Ставка за содержание электрических сетей&lt;*&gt;</t>
  </si>
  <si>
    <t>Ставка на оплату технологического расхода (потерь)</t>
  </si>
  <si>
    <t>руб./МВт.ч</t>
  </si>
  <si>
    <t>Индекс эффективности подконтрольных расходов</t>
  </si>
  <si>
    <t>НВВ сетевых организаций без учета оплаты потерь (отнесенная на сторонних потребителей)</t>
  </si>
  <si>
    <t>Адрес ЕИАС</t>
  </si>
  <si>
    <t>ОКТМО</t>
  </si>
  <si>
    <t xml:space="preserve">Расчетные материалы на ___ листах прилагаются. </t>
  </si>
  <si>
    <t>4.Учредительные документы</t>
  </si>
  <si>
    <t>5. Документы, подтверждающие право собственности на сетевое имущество</t>
  </si>
  <si>
    <t>6. Пояснительная записка</t>
  </si>
  <si>
    <t>7. Расчетные таблицы</t>
  </si>
  <si>
    <t xml:space="preserve">Отчетность , содержащая данные раздельного учета , ведется по формам согласно приложению №1 к Порядку и предосталяется субъектами естественных монополий ( в т.ч. в электронном виде) вместе с бухгалтерской отчетностью организации. </t>
  </si>
  <si>
    <t>Заявление подписывается руководителем организации, заверяется печатью, должно содержать наименование и реквизиты организации.</t>
  </si>
  <si>
    <t>Наименование обосновывающих материалов</t>
  </si>
  <si>
    <t>Показатели, для которых используются материалы</t>
  </si>
  <si>
    <t>Анализ хозяйственной деятельности</t>
  </si>
  <si>
    <t>- Бухгалтерский баланс (форма N 1);</t>
  </si>
  <si>
    <t>- Отчет о прибылях и убытках (форма N 2);</t>
  </si>
  <si>
    <t>- Отчет об изменениях капитала (форма N 3-годовая);</t>
  </si>
  <si>
    <t>- Отчет о движении денежных средств (форма N 4-годовая);</t>
  </si>
  <si>
    <t>- Приложение к бухгалтерскому балансу (форма N 5-годовая).</t>
  </si>
  <si>
    <t>Пояснительная записка к балансу.</t>
  </si>
  <si>
    <t>3. Копия приказа об учетной политике организации, заверенная в установленном порядке.</t>
  </si>
  <si>
    <r>
      <t>1.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Плановая покупка электрической энергии сбытовой организацией (в части поступления в сеть данной сетевой организации, согласованное со сбытовой компанией).</t>
    </r>
  </si>
  <si>
    <t>Объем поступления и отпуска электрической энергии, перетоки между уровнями напряжения</t>
  </si>
  <si>
    <r>
      <t>2.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Баланс электрической энергии (мощности) по сетям ВН, СН1, СН2 и НН (таблицы 1.4.,1.5)</t>
    </r>
  </si>
  <si>
    <r>
      <t>3.</t>
    </r>
    <r>
      <rPr>
        <sz val="7"/>
        <rFont val="Times New Roman"/>
        <family val="1"/>
        <charset val="204"/>
      </rPr>
      <t xml:space="preserve">   </t>
    </r>
    <r>
      <rPr>
        <sz val="14"/>
        <rFont val="Times New Roman"/>
        <family val="1"/>
        <charset val="204"/>
      </rPr>
      <t>Расчет технологического расхода электрической энергии (потерь) в электрических сетях (таблица 1.3)</t>
    </r>
  </si>
  <si>
    <t>Состав оборудования</t>
  </si>
  <si>
    <t>1. Расчет стоимости покупной энергии на технологические цели (потери ФСК) (Таблица П 1.12)</t>
  </si>
  <si>
    <t>Затраты на услуги по передаче электроэнергии по ЕНЭС</t>
  </si>
  <si>
    <t>2. Расчет суммы платы  за услуги по организации функционирования и развитию Единой энергетической системы России и организации функционирования торговой системы оптового рынка электрической энергии (мощности), передаче электроэнергии по ЕНЭС. (таблица П 1.13)</t>
  </si>
  <si>
    <r>
      <t>1.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Смета затрат на содержание сетей (таблица 1.15) и калькуляция расходов, связанных с передачей электрической энергии (таблица 1.18.2)</t>
    </r>
  </si>
  <si>
    <t>Затраты на регулируемую деятельность</t>
  </si>
  <si>
    <t>2. Расчет расходов на сырье, основные и вспомогательные материалы на расчетный период регулирования с выделением расходов на ремонт основных средств, включая:</t>
  </si>
  <si>
    <t>- динамику годовых объемов потребления основных и вспомогательных материалов за последние 3 года;</t>
  </si>
  <si>
    <t>- счета-фактуры с текущими ценами на момент регулирования;</t>
  </si>
  <si>
    <t>- нормы и нормативы расхода материалов с указанием регламентирующих документов.</t>
  </si>
  <si>
    <t>3. Расчет расходов на работы и услуги производственного характера на расчетный период регулирования с выделением расходов на ремонт основных средств, включая:</t>
  </si>
  <si>
    <t>- расшифровку данных расходов;</t>
  </si>
  <si>
    <t>- отчет о фактических расходах за последние 3 года;</t>
  </si>
  <si>
    <t>4. Расчет стоимости покупной электрической и тепловой энергии (мощности) на хозяйственные (производственные) нужды исходя из тарифов, прогнозируемых на расчетный период регулирования, с обоснованием объемов покупки.</t>
  </si>
  <si>
    <t>5. Расчет расходов на оплату труда (таблица 1.16), определяемого с учетом отраслевых тарифных соглашений и фактического объема фонда оплаты труда, сложившегося за период, предшествующий регулируемому, с приложением следующих материалов:</t>
  </si>
  <si>
    <t>- штатное расписание с указанием ступеней (разрядов) по оплате труда работников организации по форме № Т-3;</t>
  </si>
  <si>
    <t>- коллективный договор (с положениями о премировании работников и руководителей);</t>
  </si>
  <si>
    <t>- расчет нормативной численности по подразделениям и по предприятию в целом;</t>
  </si>
  <si>
    <t>- расчет средней ступени по оплате труда (среднего разряда работников) и среднего тарифного коэффициента;</t>
  </si>
  <si>
    <t>- тарифная ставка первого разряда (установленная в соответствии с ОТС, фактическая);</t>
  </si>
  <si>
    <t>- расчет процента выплат, связанных с условиями труда;</t>
  </si>
  <si>
    <t>- расчетная ведомость по оплате труда.</t>
  </si>
  <si>
    <t>6. Расчет отчислений на социальные нужды на расчетный период регулирования с учетом регрессивной шкалы по единому социальному налогу.</t>
  </si>
  <si>
    <t>7. Уведомление фонда социального страхования о размере платы за обязательное страхование от несчастных случаев на производстве.</t>
  </si>
  <si>
    <r>
      <t>8.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Расчет амортизационных отчислений на восстановление основных производственных фондов (таблица 17), включая:</t>
    </r>
  </si>
  <si>
    <t>- отчет об использовании амортизационных отчислений за 2 последних года;</t>
  </si>
  <si>
    <t>- расчет амортизации по вновь вводимым объектам на расчетный период регулирования;</t>
  </si>
  <si>
    <t>- приказы о проведении переоценки основных средств;</t>
  </si>
  <si>
    <t>- заключение по оценке рыночной стоимости имущества;</t>
  </si>
  <si>
    <t>- перечень объектов и их стоимость, по которым прекращено начисление амортизации, за период, предшествующий регулируемому, и на расчетный период регулирования;</t>
  </si>
  <si>
    <t>- перечень объектов и их стоимость, планируемых к списанию, за период, предшествующий регулируемому, и на расчетный период регулирования с указанием из остаточной стоимости.</t>
  </si>
  <si>
    <t>- расчет среднегодовой стоимости основных производственных фондов по линиям электропередач и подстанциям (таблица 1.17.1).</t>
  </si>
  <si>
    <t>9. Расчет расходов на ремонт в расчетном периоде регулирования, включая:</t>
  </si>
  <si>
    <t>- программы проведения ремонтных работ, утвержденные организациями, осуществляющими регулируемую деятельность на расчетный период регулирования. Графики капитальных, средних и текущих ремонтов;</t>
  </si>
  <si>
    <t>- расчет стоимости ремонтных работ на расчетный период регулирования в соответствии с нормативами расходов на ремонт основных производственных фондов;</t>
  </si>
  <si>
    <t>- сметную документацию на ремонтные работы, планируемые в расчетном периоде регулирования;</t>
  </si>
  <si>
    <t>- заключения экспертиз технического состояния производственного оборудования, предписания органов технадзора, дефектные ведомости на ремонтные работы, проводимые в расчетном периоде регулирования;</t>
  </si>
  <si>
    <t>- отчет о фактически выполненных ремонтах за 3 последних года с указанием объемов и стоимости работ и средствах, учтенных в тарифе на эти цели.</t>
  </si>
  <si>
    <t>10. Расчет расходов на проведение НИОКР на расчетный период регулирования, включая:</t>
  </si>
  <si>
    <t>- программу НИОКР;</t>
  </si>
  <si>
    <t>- обоснование необходимости проведения работ;</t>
  </si>
  <si>
    <t>- договоры на выполнение работ;</t>
  </si>
  <si>
    <t>- отчет о выполнении программы НИОКР за 3 последних года с указанием полученных эффектов (производственные, финансово-экономические показатели).</t>
  </si>
  <si>
    <t>11. Расчет расходов на страхование на расчетный период регулирования, включая:</t>
  </si>
  <si>
    <t>- договоры на страхование;</t>
  </si>
  <si>
    <t>- перечень застрахованного имущества;</t>
  </si>
  <si>
    <t>- страховые полисы;</t>
  </si>
  <si>
    <t>- программу страховой защиты;</t>
  </si>
  <si>
    <t>- отчет о страховых выплатах и использовании полученных средств за последние 3 года.</t>
  </si>
  <si>
    <t>12. Расчет платы за предельно допустимые выбросы загрязняющих веществ на расчетный период регулирования с указанием фактических объемов выбросов и действующих ставок, заверенный территориальным органом службы по экологическому, технологическому и атомному надзору.</t>
  </si>
  <si>
    <t>13. Расчет земельного налога на расчетный период регулирования с указанием кадастровой стоимости участков и налоговых ставок.</t>
  </si>
  <si>
    <t>14. Расчет транспортного налога, включая план приобретения транспортных средств, на расчетный период регулирования.</t>
  </si>
  <si>
    <t>15. Договоры на аренду имущества, оборудования, земельных участков, расчет арендных платежей на расчетный период регулирования.</t>
  </si>
  <si>
    <t>16. Расшифровка других расходов, включая перечень договоров и расчеты расходов по отдельным элементам на расчетный период регулирования:</t>
  </si>
  <si>
    <t>- расходы на связь;</t>
  </si>
  <si>
    <t>- расходы на вневедомственную охрану объектов;</t>
  </si>
  <si>
    <t>- расходы на услуги пожарной охраны;</t>
  </si>
  <si>
    <t>- расходы на услуги по водоснабжению и канализации;</t>
  </si>
  <si>
    <t>- расходы на подготовку, переподготовку и повышение квалификации кадров;</t>
  </si>
  <si>
    <t>- расходы на командировки;</t>
  </si>
  <si>
    <t>- представительские расходы;</t>
  </si>
  <si>
    <t>- расходы на обеспечение нормальных условий труда и техники безопасности;</t>
  </si>
  <si>
    <t>- расходы на юридические, консультационные, информационные, аудиторские услуги;</t>
  </si>
  <si>
    <t>- прочие расходы (с расшифровкой).</t>
  </si>
  <si>
    <t>17. Расчет размера понесенных экономически обоснованных расходов, не учтенных при установлении тарифов (цен), в том числе расходов, связанных с объективным и незапланированным ростом цен на продукцию, потребляемую в течение расчетного периода регулирования, с обоснованием экономической обоснованности фактически понесенных расходов, включая:</t>
  </si>
  <si>
    <t>- причины превышения фактических объемов потребляемых продуктов (услуг) над плановыми;</t>
  </si>
  <si>
    <t>- подтверждение роста цен (тарифов) на потребляемые продукты (услуги) относительно плановых;</t>
  </si>
  <si>
    <t>- источник финансирования фактических расходов, превышающих плановые; в случае привлечения кредитов - расчет дополнительных расходов, связанных с обслуживанием данных заемных средств.</t>
  </si>
  <si>
    <t>При заключении договоров на приобретение продукции, выполнение работ (оказание услуг) обязательно предоставляется отчет о проведении конкурсных процедур с расчетом эффективности их проведения.</t>
  </si>
  <si>
    <r>
      <t>1.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Справка о финансировании и освоении капитальных вложений (таблица 1.20.3) с  обоснованием потребности в средствах (по подразделениям и в целом по предприятию).</t>
    </r>
  </si>
  <si>
    <t>Плановая прибыль от регулируемой деятельности</t>
  </si>
  <si>
    <t>Формы КС-2, КС-3, Форма П-2.</t>
  </si>
  <si>
    <t>Инвестиционная программа, утвержденная ГУ РЭК и удовлетворяющая требованиям, предъявляемым ФСТ России (информационное письмо ФСТ России от 20.04.2006г. №ЕЯ-1897/12).</t>
  </si>
  <si>
    <r>
      <t>2.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 xml:space="preserve"> Расчет источников финансирования капитальных вложений (таблица 1.20)</t>
    </r>
  </si>
  <si>
    <r>
      <t>3.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Расчет необходимой прибыли (таблица 1.21.3)</t>
    </r>
  </si>
  <si>
    <r>
      <t>4.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Расчет необходимой прибыли на социальное развитие на расчетный период регулирования, включая:</t>
    </r>
  </si>
  <si>
    <t>- программу социального развития;</t>
  </si>
  <si>
    <t>- расшифровку и расчет расходов на социальное развитие.</t>
  </si>
  <si>
    <t>5. Расчет прибыли на поощрение на расчетный период регулирования, в том числе расчет выплат социального характера со ссылкой на положения коллективного договора и отраслевых тарифных соглашений, с указанием количества работников, по факту получивших выплаты.</t>
  </si>
  <si>
    <t>6. Расчет дивидендов по акциям на расчетный период регулирования, включая фактические выплаты дивидендов за 3 предыдущих года.</t>
  </si>
  <si>
    <t>7. Расчет "прибыли на прочие цели" (с расшифровкой расходов, включая перечень договоров на расчетный период регулирования).</t>
  </si>
  <si>
    <t>8. Расчет плановых расходов на оплату процентов по кредитам банков на расчетный период регулирования, включая:</t>
  </si>
  <si>
    <t>- расчет расходов, необходимых для поддержания достаточного размера оборотного капитала (расчет кассовых разрывов, отчет о движении потоков наличности);</t>
  </si>
  <si>
    <t>- расчет расходов, необходимых для финансирования инвестиционной программы;</t>
  </si>
  <si>
    <t>- заключенные кредитные договоры.</t>
  </si>
  <si>
    <t>9. Расчет расходов на услуги банков на расчетный период регулирования, включая заключенные договора на оказание данных услуг.</t>
  </si>
  <si>
    <t>10. Расчет расходов по сомнительным долгам на расчетный период регулирования с обоснованием невозможности взыскания дебиторской задолженности, включая:</t>
  </si>
  <si>
    <t>- требования (в арбитражный суд или к конкурсному управляющему) о внесении задолженности в реестр кредиторов;</t>
  </si>
  <si>
    <t>- решения арбитражного суда (или уведомление конкурсного управляющего) о том, что требования предприятия внесены в реестр кредиторов;</t>
  </si>
  <si>
    <r>
      <t xml:space="preserve">- </t>
    </r>
    <r>
      <rPr>
        <sz val="14"/>
        <rFont val="Times New Roman"/>
        <family val="1"/>
        <charset val="204"/>
      </rPr>
      <t>подтверждение неудовлетворения требований предприятия (решения суда о завершении конкурсного производства).</t>
    </r>
  </si>
  <si>
    <t>11. Расчет налогов, производимых за счет прибыли, на расчетный период регулирования, в том числе расчет налога на прибыль с указанием сумм амортизации, учитываемых в целях бухгалтерского и налогового учета.</t>
  </si>
  <si>
    <t>12.Расчет налога на имущество на расчетный период регулирования, включая перечень льготируемого имущества.</t>
  </si>
  <si>
    <t>1. Расчет платы за услуги по содержанию электрических сетей (таблица 1.24)</t>
  </si>
  <si>
    <t>Расчет ставок тарифа на услуги по передаче электроэнергии</t>
  </si>
  <si>
    <t>2. Расчет ставки по оплате потерь электроэнергии (таблица 1.25).</t>
  </si>
  <si>
    <t>3. Расчет индивидуальных тарифов на услуги  по передаче электрической энергии по сетям (кроме котлодержателя).</t>
  </si>
  <si>
    <t>Расчет тарифов на услуги по передаче электрической энергии по сетям на долгосрочный период регулирования</t>
  </si>
  <si>
    <t>Примечание.</t>
  </si>
  <si>
    <t>Отчетные данные за девять месяцев предоставить до 5 ноября.</t>
  </si>
  <si>
    <t>В ходе государственного регулирования перечень материалов может быть дополнен.</t>
  </si>
  <si>
    <t xml:space="preserve">Наменование муниципального образования в котором осуществляется услуга </t>
  </si>
  <si>
    <t>3.Оглавление</t>
  </si>
  <si>
    <t>8. Обосновывающие материалы (подлинники или заверенные заявителем копии)</t>
  </si>
  <si>
    <t>№ п/п</t>
  </si>
  <si>
    <t>Наименование</t>
  </si>
  <si>
    <t>2.</t>
  </si>
  <si>
    <t>2.1</t>
  </si>
  <si>
    <t>2.2</t>
  </si>
  <si>
    <t>х</t>
  </si>
  <si>
    <t>1.</t>
  </si>
  <si>
    <t>3.</t>
  </si>
  <si>
    <t>п/п</t>
  </si>
  <si>
    <t>4.</t>
  </si>
  <si>
    <t>5.</t>
  </si>
  <si>
    <t>6.</t>
  </si>
  <si>
    <t>7.</t>
  </si>
  <si>
    <t>8.</t>
  </si>
  <si>
    <t>9.</t>
  </si>
  <si>
    <t>в том числе</t>
  </si>
  <si>
    <t>1.2</t>
  </si>
  <si>
    <t>Перечень материалов</t>
  </si>
  <si>
    <t>Кол-во</t>
  </si>
  <si>
    <t>Общая стоимость ремонтных работ</t>
  </si>
  <si>
    <t>Ед. изм.</t>
  </si>
  <si>
    <t>ВСЕГО</t>
  </si>
  <si>
    <t>Цена за единицу, руб.(без НДС)</t>
  </si>
  <si>
    <t>Стоимость тыс.руб.(без НДС)</t>
  </si>
  <si>
    <t>№</t>
  </si>
  <si>
    <t>Показатели</t>
  </si>
  <si>
    <t>Ед.изм.</t>
  </si>
  <si>
    <t>чел.</t>
  </si>
  <si>
    <t>2.1.</t>
  </si>
  <si>
    <t>Тарифная ставка рабочего 1 разряда</t>
  </si>
  <si>
    <t>руб.</t>
  </si>
  <si>
    <t>2.2.</t>
  </si>
  <si>
    <t>Дефлятор по заработной плате</t>
  </si>
  <si>
    <t>Тарифная ставка рабочего 1 разряда с учетом дефлятора</t>
  </si>
  <si>
    <t>Средняя ступень оплаты</t>
  </si>
  <si>
    <t>Тарифный коэффициент соответствующий ступени по оплате труда</t>
  </si>
  <si>
    <t xml:space="preserve"> - " -</t>
  </si>
  <si>
    <t>Выплаты, связанные с режимом работы с условиями труда 1 работника</t>
  </si>
  <si>
    <t>процент выплаты</t>
  </si>
  <si>
    <t>%</t>
  </si>
  <si>
    <t>сумма выплат</t>
  </si>
  <si>
    <t>Текущее премирование</t>
  </si>
  <si>
    <t>Вознаграждение за выслугу лет</t>
  </si>
  <si>
    <t>Выплаты по итогам года</t>
  </si>
  <si>
    <t>тыс.руб.</t>
  </si>
  <si>
    <t>Ввод основных производственных фондов</t>
  </si>
  <si>
    <t>Выбытие основных производственных фондов</t>
  </si>
  <si>
    <t>Средняя норма амортизации</t>
  </si>
  <si>
    <t>Сумма амортизационных отчислений</t>
  </si>
  <si>
    <t>3.Ремонт кабельных линий 6-10кВ</t>
  </si>
  <si>
    <t>4.Ремонт кабельных линий 0,4кВ</t>
  </si>
  <si>
    <t>тыс. руб.</t>
  </si>
  <si>
    <t/>
  </si>
  <si>
    <t>п.п.</t>
  </si>
  <si>
    <t>1.1</t>
  </si>
  <si>
    <t>5.Ремонт трансформаторных подстанций</t>
  </si>
  <si>
    <t>6.Прочие виды ремонтных работ</t>
  </si>
  <si>
    <t>3.1</t>
  </si>
  <si>
    <t>3.2</t>
  </si>
  <si>
    <t>4.1</t>
  </si>
  <si>
    <t>4.2</t>
  </si>
  <si>
    <t>5.1</t>
  </si>
  <si>
    <t>5.2</t>
  </si>
  <si>
    <t>6.1</t>
  </si>
  <si>
    <t>6.2</t>
  </si>
  <si>
    <t>* Затраты на реконструкцию, модернизацию, техническое перевооружение отражаются в программе производственного развития</t>
  </si>
  <si>
    <t>8.1</t>
  </si>
  <si>
    <t>8.2</t>
  </si>
  <si>
    <t>9.1</t>
  </si>
  <si>
    <t>9.2</t>
  </si>
  <si>
    <t>10</t>
  </si>
  <si>
    <t>10.1</t>
  </si>
  <si>
    <t>10.2</t>
  </si>
  <si>
    <t>11</t>
  </si>
  <si>
    <t>11.1</t>
  </si>
  <si>
    <t>11.2</t>
  </si>
  <si>
    <t>12.</t>
  </si>
  <si>
    <t>13.</t>
  </si>
  <si>
    <t>Итого среднемесячная оплата труда на 1 работника(п.7+п.8+п.9+п.10+п.11)</t>
  </si>
  <si>
    <t>14.</t>
  </si>
  <si>
    <t>1. Ремонт воздушных линий ВЛ-6-10кВ</t>
  </si>
  <si>
    <t>2.Ремонт воздушных линий ВЛ-0,4кВ</t>
  </si>
  <si>
    <t>Балансовая стоимость основных производственных фондов на начало периода регулирования</t>
  </si>
  <si>
    <t>Материал опор</t>
  </si>
  <si>
    <t>ВЛЭП</t>
  </si>
  <si>
    <t>дерево</t>
  </si>
  <si>
    <t>дерево на ж/б пасынках</t>
  </si>
  <si>
    <t>ж/бетон, металл</t>
  </si>
  <si>
    <t>КЛЭП</t>
  </si>
  <si>
    <t>Единица измерения</t>
  </si>
  <si>
    <t>Количество единиц измерения</t>
  </si>
  <si>
    <t>п/ст</t>
  </si>
  <si>
    <t>Мачтовая (столбовая) ТП</t>
  </si>
  <si>
    <t>ТП</t>
  </si>
  <si>
    <t>ТП, КТП</t>
  </si>
  <si>
    <t>Двухтрансформаторная ТП, КТП</t>
  </si>
  <si>
    <t>Масляный выключатель</t>
  </si>
  <si>
    <t>3 фазы</t>
  </si>
  <si>
    <t>Выключатель нагрузки</t>
  </si>
  <si>
    <t>Система условных единиц для распределения общей суммы тарифной выручки по классам напряжения.</t>
  </si>
  <si>
    <t xml:space="preserve">Объем воздушных линий электропередач (ВЛЭП) и кабельных линий электропередач (КЛЭП) в условных единицах в зависимост от протяженности, напряжения, конструктивного использования и материала опор.  </t>
  </si>
  <si>
    <t xml:space="preserve">Напряжение, кВ </t>
  </si>
  <si>
    <t>Количество цепей на опоре</t>
  </si>
  <si>
    <t>Количество условных единиц (у) на 100 км трассы ЛЭП</t>
  </si>
  <si>
    <t>Объем условных единиц</t>
  </si>
  <si>
    <t>км</t>
  </si>
  <si>
    <t>у</t>
  </si>
  <si>
    <t>7 = 5 * 6 /100</t>
  </si>
  <si>
    <t>-</t>
  </si>
  <si>
    <t>металл</t>
  </si>
  <si>
    <t>400-500</t>
  </si>
  <si>
    <t>ж/бетон</t>
  </si>
  <si>
    <t>110-150</t>
  </si>
  <si>
    <t xml:space="preserve">ВН, всего </t>
  </si>
  <si>
    <t xml:space="preserve"> 1 - 20 </t>
  </si>
  <si>
    <t xml:space="preserve"> 20 -35</t>
  </si>
  <si>
    <t xml:space="preserve"> 3 - 10</t>
  </si>
  <si>
    <t>СН, всего</t>
  </si>
  <si>
    <t xml:space="preserve">0,4 кВ </t>
  </si>
  <si>
    <t xml:space="preserve">до 1 кВ </t>
  </si>
  <si>
    <t>НН, всего</t>
  </si>
  <si>
    <t xml:space="preserve">Объем подстанций 35-1150 кВ, трансформаторных подстанций (ТП), комплексных трансформаторных подстанций (КТП) и распределительных пунктов(РП) 0,4-20 кВ в условных единицах. </t>
  </si>
  <si>
    <t>Количество условных единиц (у) на единицу измерения</t>
  </si>
  <si>
    <t>у/ед.изм.</t>
  </si>
  <si>
    <t>ед.изм.</t>
  </si>
  <si>
    <t>7=5*6</t>
  </si>
  <si>
    <t>Подстанция</t>
  </si>
  <si>
    <t>П/ст</t>
  </si>
  <si>
    <t xml:space="preserve"> 110 - 150</t>
  </si>
  <si>
    <t>Силовой трансформатор или реактор (одно- или трехфазный), или вольтодобавочный трансформатор</t>
  </si>
  <si>
    <t>Единица оборудования</t>
  </si>
  <si>
    <t xml:space="preserve"> 1 - 20</t>
  </si>
  <si>
    <t>Воздушный выключатель</t>
  </si>
  <si>
    <t>Отделитель с короткозамыкателем</t>
  </si>
  <si>
    <t>Синхронный компенсатор мощн. 50 Мвар</t>
  </si>
  <si>
    <t>То же, 50 Мвар и более</t>
  </si>
  <si>
    <t>Статические конденсаторы</t>
  </si>
  <si>
    <t>100 конд.</t>
  </si>
  <si>
    <t>Однотрансфор-маторная ТП, КТП</t>
  </si>
  <si>
    <t xml:space="preserve">Однотрансфор-маторная подстанция 34/0,4 кВ </t>
  </si>
  <si>
    <t>Итого</t>
  </si>
  <si>
    <t>ВН</t>
  </si>
  <si>
    <t>Объем РП 1-20 кВ в условных единицах определяется по количеству установленных масляных выключателей (п.4) и выключателей нагрузки (п.6). При установке в РП трансформаторов 1-20/0,4 кВ дополнительные объемы обслуживания определяются по п.11 или  12.</t>
  </si>
  <si>
    <t>Таблица № 2.1</t>
  </si>
  <si>
    <t xml:space="preserve">         в т.ч. СН1 (35 кВ)</t>
  </si>
  <si>
    <t xml:space="preserve">                  СН2 (1-20 кВ)</t>
  </si>
  <si>
    <t>Примечание: при расчете условных единиц протяженность ВЛЭП-0,4 кВ от линии до ввода в здание и кабельные вводы не учитываются.</t>
  </si>
  <si>
    <t>Протяженность по трассе</t>
  </si>
  <si>
    <t>у.е./100км</t>
  </si>
  <si>
    <t>у.е.</t>
  </si>
  <si>
    <t>Таблица № 2.2</t>
  </si>
  <si>
    <t>СН1</t>
  </si>
  <si>
    <t>СН2</t>
  </si>
  <si>
    <t>Условные единицы электрооборудования понизительных подстанций относятся на уровень высшего (первичного) напряжения подстанций</t>
  </si>
  <si>
    <t>Примечания:</t>
  </si>
  <si>
    <r>
      <t xml:space="preserve">Условные единицы по п 2 "Силовые трансформаторы 1-20 кВ" определяются </t>
    </r>
    <r>
      <rPr>
        <u/>
        <sz val="10"/>
        <rFont val="Times New Roman CYR"/>
        <charset val="204"/>
      </rPr>
      <t>только для трансформаторов, используемых для собственных нужд подстанций 35-1150 кВ.</t>
    </r>
    <r>
      <rPr>
        <sz val="10"/>
        <rFont val="Times New Roman Cyr"/>
        <charset val="204"/>
      </rPr>
      <t xml:space="preserve">  </t>
    </r>
  </si>
  <si>
    <t xml:space="preserve">Значение условных единиц пп.4 и 6  "Масляные выключатели  1-20 кВ" и "Выключатели нагрузки 1-20 кВ" относятся к коммутационным аппаратам, установленным в распределительных устройствах  1-20 кВ подстанций 35-1150 кВ , ТП, КТП и РП 1-20 кВ , а так же к секционирующим коммутационным аппаратам на линиях 1-20 кВ   </t>
  </si>
  <si>
    <t>Всего</t>
  </si>
  <si>
    <t>НН</t>
  </si>
  <si>
    <t xml:space="preserve">Поступление эл.энергии в сеть , ВСЕГО </t>
  </si>
  <si>
    <t>1.1.</t>
  </si>
  <si>
    <t>1.2.</t>
  </si>
  <si>
    <t>1.3.</t>
  </si>
  <si>
    <t xml:space="preserve">Потери электроэнергии в сети </t>
  </si>
  <si>
    <t xml:space="preserve">Полезный отпуск из сети </t>
  </si>
  <si>
    <t>4.1.</t>
  </si>
  <si>
    <t>4.2.</t>
  </si>
  <si>
    <t>Таблица № 1.4.</t>
  </si>
  <si>
    <t>из собственной смежной сети, всего,                            в т.ч. из сети</t>
  </si>
  <si>
    <t>от электростанций</t>
  </si>
  <si>
    <t>то же в % (п.2/п.1)</t>
  </si>
  <si>
    <t>3.1.</t>
  </si>
  <si>
    <t>3.2.</t>
  </si>
  <si>
    <t>3.3.</t>
  </si>
  <si>
    <t>тыс.кВтч.</t>
  </si>
  <si>
    <t>материалы всего, в т.ч.:</t>
  </si>
  <si>
    <t>Ремонтные работы, выполняемые подрядными организациями</t>
  </si>
  <si>
    <t>Ремонтные работы, выполняемые хоз.способом</t>
  </si>
  <si>
    <t>стоимость материалов</t>
  </si>
  <si>
    <t>стоимость работ, выполняемых подрядными организациями</t>
  </si>
  <si>
    <t>Таблица 1.16.</t>
  </si>
  <si>
    <t>Таблица 1.17.</t>
  </si>
  <si>
    <t>стоимость на начало регулируемого периода</t>
  </si>
  <si>
    <t>Ввод основных производствен ных фондов</t>
  </si>
  <si>
    <t xml:space="preserve">стоимость на конец регулируемого периода </t>
  </si>
  <si>
    <t xml:space="preserve">среднегодовая стоимость </t>
  </si>
  <si>
    <t>Амортизация</t>
  </si>
  <si>
    <t>Всего (стр. 1+стр.2)</t>
  </si>
  <si>
    <t>Таблица  1.17.1</t>
  </si>
  <si>
    <t>x</t>
  </si>
  <si>
    <t>Примечание: оборудование подстанций относится на первичный уровень напряжения.</t>
  </si>
  <si>
    <t>Среднегодовая стоимость основных производственных фондов</t>
  </si>
  <si>
    <t>Линии электропередач</t>
  </si>
  <si>
    <t>Подстанции</t>
  </si>
  <si>
    <t>3.4.</t>
  </si>
  <si>
    <t>расход электроэнергии на собственные производственные и хозяйственные нужды</t>
  </si>
  <si>
    <t>3.1.1.</t>
  </si>
  <si>
    <t>3.1.2.</t>
  </si>
  <si>
    <t>3.1.3.</t>
  </si>
  <si>
    <t>3.2.1.</t>
  </si>
  <si>
    <t>3.2.2.</t>
  </si>
  <si>
    <t>3.2.3.</t>
  </si>
  <si>
    <t>3.4.1.</t>
  </si>
  <si>
    <t>3.4.2.</t>
  </si>
  <si>
    <t>3.4.3.</t>
  </si>
  <si>
    <t>1.3.1.</t>
  </si>
  <si>
    <t>1.3.2.</t>
  </si>
  <si>
    <t>1.3.3.</t>
  </si>
  <si>
    <t>в т.ч. потребителям сбытовых компаний розничного рынка (указать по сбытовым компаниям):</t>
  </si>
  <si>
    <t>потребителям оптового рынка (указать):</t>
  </si>
  <si>
    <t>сальдо переток в другие сетевые организации (транзит, указать организации):</t>
  </si>
  <si>
    <t>Налог на имущество</t>
  </si>
  <si>
    <t>тыс.кВт.ч.</t>
  </si>
  <si>
    <t xml:space="preserve">Поступление мощности в сеть , ВСЕГО </t>
  </si>
  <si>
    <t xml:space="preserve">Потери в сети </t>
  </si>
  <si>
    <t xml:space="preserve">Полезный отпуск мощности из сети </t>
  </si>
  <si>
    <t>в т.ч. заявленная (расчетная) мощность потребителей сбытовых компаний розничного рынка (указать по сбытовым компаниям):</t>
  </si>
  <si>
    <t>Наименование сетевой организации</t>
  </si>
  <si>
    <t>Базовый уровень подконтрольных расходов</t>
  </si>
  <si>
    <t>Коэффициент эластичности подконтрольных расходов по количеству активов</t>
  </si>
  <si>
    <t>млн. руб.</t>
  </si>
  <si>
    <t>Данные об организации</t>
  </si>
  <si>
    <t>Наименование организации в соответствии с уставом:</t>
  </si>
  <si>
    <t xml:space="preserve">полное наименование организации </t>
  </si>
  <si>
    <t xml:space="preserve">сокращенное название организации </t>
  </si>
  <si>
    <t>Муниципальное образование</t>
  </si>
  <si>
    <t>Адрес организации:</t>
  </si>
  <si>
    <t>юридический адрес</t>
  </si>
  <si>
    <t>фактический адрес (месторасположение)</t>
  </si>
  <si>
    <t>ИНН</t>
  </si>
  <si>
    <t>КПП</t>
  </si>
  <si>
    <t>ФИО руководителя организации</t>
  </si>
  <si>
    <t>контактный телефон/факс</t>
  </si>
  <si>
    <t>е-mail</t>
  </si>
  <si>
    <t>ФИО начальника ПЭО</t>
  </si>
  <si>
    <t>ФИО ответственного за электрохозяйство</t>
  </si>
  <si>
    <t>ФИО главного бухгалтера</t>
  </si>
  <si>
    <t>ФИО непосредственного исполнителя</t>
  </si>
  <si>
    <t>Банковские реквизиты:</t>
  </si>
  <si>
    <t>расчетный счет</t>
  </si>
  <si>
    <t>банк</t>
  </si>
  <si>
    <t>корреспондентский счет</t>
  </si>
  <si>
    <t>БИК</t>
  </si>
  <si>
    <t>2. Реквизиты  сетевой организации</t>
  </si>
  <si>
    <t>Содержание зданий (Теплоэнергия, газ)</t>
  </si>
  <si>
    <t>СН</t>
  </si>
  <si>
    <t>от сетевых организаций (указать):</t>
  </si>
  <si>
    <t xml:space="preserve">от филиала "Рязаньэнерго" ОАО "МРСК Центра и Приволжья" </t>
  </si>
  <si>
    <t>ОАО "ФСК ЕЭС"</t>
  </si>
  <si>
    <t>от других сетевых организаций</t>
  </si>
  <si>
    <t>ООО РГМЭК</t>
  </si>
  <si>
    <t>Наименование других сетевых организаций</t>
  </si>
  <si>
    <t xml:space="preserve">Расшифровка п. 1.3.3.(Поступление от других сетевых организаций) </t>
  </si>
  <si>
    <t xml:space="preserve">Расшифровка п.3. 4. (Полезный отпуск - переток в другие сетевые организации) </t>
  </si>
  <si>
    <t>Наименование сбытовых организаций</t>
  </si>
  <si>
    <t>прочие потребители</t>
  </si>
  <si>
    <t>население</t>
  </si>
  <si>
    <t>ОАО "Оборонэнергосбыт"</t>
  </si>
  <si>
    <t>Итого всего, в том числе:</t>
  </si>
  <si>
    <t>ОАО "РЭСК" всего, в том числе:</t>
  </si>
  <si>
    <t>ООО "РГМЭК" всего, в том числе:</t>
  </si>
  <si>
    <t xml:space="preserve">Расшифровка п. 1.3.3 (Поступление от других сетевых организаций) </t>
  </si>
  <si>
    <t xml:space="preserve">Расшифровка п. 3.4. (Полезный отпуск - переток в другие сетевые организации) </t>
  </si>
  <si>
    <t>ОАО "РЭСК"всего, в том числе:</t>
  </si>
  <si>
    <t xml:space="preserve"> ООО "РГМЭК"всего, в том числе:</t>
  </si>
  <si>
    <t>1 ПОЛУГОДИЕ</t>
  </si>
  <si>
    <t>2 ПОЛУГОДИЕ</t>
  </si>
  <si>
    <t>1  ПОЛУГОДИЕ</t>
  </si>
  <si>
    <t>2  ПОЛУГОДИЕ</t>
  </si>
  <si>
    <t>Расходы на содержание зданий и помещений (по регулируемым тарифам)</t>
  </si>
  <si>
    <t>Факт</t>
  </si>
  <si>
    <t>Утверждено</t>
  </si>
  <si>
    <t>По данным организации</t>
  </si>
  <si>
    <t>По данным экспертов</t>
  </si>
  <si>
    <t>Расходы на содержание зданий и помещений</t>
  </si>
  <si>
    <t>Электрическая энергия</t>
  </si>
  <si>
    <t>договор  с _____ от_____№  __ на_________</t>
  </si>
  <si>
    <t>Тепловая энергия</t>
  </si>
  <si>
    <t>Водоснабжение и канализация</t>
  </si>
  <si>
    <t>Прочие услуги , связанные с содержанием помещений по регулируемым тарифам</t>
  </si>
  <si>
    <t xml:space="preserve">Плата за землю </t>
  </si>
  <si>
    <t>Земельный налог, всего</t>
  </si>
  <si>
    <t>Арендная плата за землю</t>
  </si>
  <si>
    <t>Всего плата за землю:</t>
  </si>
  <si>
    <t xml:space="preserve">Расчет транспортного налога </t>
  </si>
  <si>
    <t>Объект налогообложения (вид и марка транспортного средства)</t>
  </si>
  <si>
    <t>Налоговая база, (л.с.)</t>
  </si>
  <si>
    <t>Налоговая ставка, руб.</t>
  </si>
  <si>
    <t>Коэф. использ.</t>
  </si>
  <si>
    <t>Годовая сумма налога, тыс. руб.</t>
  </si>
  <si>
    <t>Годовая сумма налога,                 тыс. руб.</t>
  </si>
  <si>
    <t>По расчету экспертов</t>
  </si>
  <si>
    <t>Тыс. руб.</t>
  </si>
  <si>
    <t>Среднегодовая остаточная стоимость основных средств, всего, в том числе:</t>
  </si>
  <si>
    <t>-облагаемых по ставке 2,2 %</t>
  </si>
  <si>
    <t xml:space="preserve">-облагаемых по льготной ставке </t>
  </si>
  <si>
    <t xml:space="preserve">Льготная ставка налога </t>
  </si>
  <si>
    <t>Налог на имущество, в том числе по уровням напряжения:</t>
  </si>
  <si>
    <t>СН11</t>
  </si>
  <si>
    <t>общий для всех уровней напряжения</t>
  </si>
  <si>
    <t>Расчет платы за негативное воздействие на окружающую среду</t>
  </si>
  <si>
    <t>Выбросы в атмосферу от стационарных источников</t>
  </si>
  <si>
    <t>Выбросы в атмосферу от передвижных источников</t>
  </si>
  <si>
    <t>Сбросы в водные объекты</t>
  </si>
  <si>
    <t>Плата за размещение отходов</t>
  </si>
  <si>
    <t>ИТОГО плата за негативное воздействие на окружающую среду</t>
  </si>
  <si>
    <t>Тыс.руб.</t>
  </si>
  <si>
    <t>утверждено</t>
  </si>
  <si>
    <t>Расходы на содержание сетей, тыс. руб.</t>
  </si>
  <si>
    <t>Заявленная мощность в точках присоединения к сетям ОАО "ФСК ЕЭС", МВт</t>
  </si>
  <si>
    <t>Ставка тарифа услуги по передаче электрической энергии на содержание объектов электросетевого хозяйства, входящих в ЕНЭС, руб. МВт/мес.</t>
  </si>
  <si>
    <t>Расходы на компенсацию потерь, тыс. руб.</t>
  </si>
  <si>
    <t>Объем технологических потерь электрической энергии при ее передаче по ЕНЭС, млн. кВт.ч</t>
  </si>
  <si>
    <t>Объем отпуска электроэнергии из сети ОАО "ФСК ЕЭС" в сеть организации, млн. кВт.ч</t>
  </si>
  <si>
    <t>Норматив технологических потерь электрической энергии при ее передаче по ЕНЭС, применяемый к отпуску электроэнергии из сети ОАО "ФСК ЕЭС" класса 220 кВ и ниже, %</t>
  </si>
  <si>
    <t>Ставка тарифа на оплату нормативных технологических потерь электрической энергии в ЕНЭС, руб./МВт.ч</t>
  </si>
  <si>
    <t>ИТОГО оплата услуг ОАО "ФСК ЕЭС"</t>
  </si>
  <si>
    <t>Прочие обоснованные неподконтрольные расходы</t>
  </si>
  <si>
    <t>ИТОГО прочие обоснованные неподконтрольные расходы:</t>
  </si>
  <si>
    <t>Наименование показателей</t>
  </si>
  <si>
    <t>Величина корректировки НР</t>
  </si>
  <si>
    <t>Расходы, связанные с компенсацией выпадающих доходов от льготного технологического присоединения</t>
  </si>
  <si>
    <t xml:space="preserve">Итого </t>
  </si>
  <si>
    <t>Обозначение в Мет. указаниях</t>
  </si>
  <si>
    <t>Расчетная величина собственных средств организации для финансирования инвестиционной программы , всего, в том числе:</t>
  </si>
  <si>
    <t>-амортизация</t>
  </si>
  <si>
    <t>- капитальные вложения из прибыли</t>
  </si>
  <si>
    <t>Утвержденная инвестиционная программа (в случае, если договорная схема организации предполагает взаиморасчет по одноставочному тарифу, величина   принимается равной расчетному значению)</t>
  </si>
  <si>
    <t xml:space="preserve">Объем фактического исполнения инвестиционной программы </t>
  </si>
  <si>
    <t>Учтенная при расчете тарифов на (i-1) год корректировка необходимой валовой выручки на (i-2)-ой год долгосрочного периода регулирования, осуществленная в связи с изменением (неисполнением) инвестиционной программы за истекший период на (i-2)-го года по результатам 9 месяцев</t>
  </si>
  <si>
    <t>Показатели уровня надежности и уровня качества оказываемых услуг</t>
  </si>
  <si>
    <t>Обозначение в Методических  указаниях</t>
  </si>
  <si>
    <t>% отклонения</t>
  </si>
  <si>
    <t>Показатель средней продолжительности прекращений передачи электрической энергии</t>
  </si>
  <si>
    <t xml:space="preserve">Показатель уровня качества обслуживания потребителей услуг </t>
  </si>
  <si>
    <t>в т.ч. полезный отпуск сторонним потребителям год</t>
  </si>
  <si>
    <t>2 полугодие</t>
  </si>
  <si>
    <t>Цена (тариф) покупки потерь э/э в сетях  руб/тыс. кВт.ч</t>
  </si>
  <si>
    <r>
      <t>Величина технологического расхода (потерь) электрической энергии</t>
    </r>
    <r>
      <rPr>
        <b/>
        <sz val="10"/>
        <rFont val="Times New Roman"/>
        <family val="1"/>
        <charset val="204"/>
      </rPr>
      <t xml:space="preserve"> (на сторонних)</t>
    </r>
    <r>
      <rPr>
        <sz val="10"/>
        <rFont val="Times New Roman"/>
        <family val="1"/>
        <charset val="204"/>
      </rPr>
      <t xml:space="preserve">, </t>
    </r>
    <r>
      <rPr>
        <b/>
        <sz val="10"/>
        <rFont val="Times New Roman"/>
        <family val="1"/>
        <charset val="204"/>
      </rPr>
      <t>%</t>
    </r>
  </si>
  <si>
    <t>рост одноставочного тарифа,%</t>
  </si>
  <si>
    <t>Источники финансирования утвержденной ИПР, тыс.руб.</t>
  </si>
  <si>
    <t xml:space="preserve">1 полугодие </t>
  </si>
  <si>
    <t>год</t>
  </si>
  <si>
    <t xml:space="preserve">Баланс электрической мощности по ВН, СН1, СН2 и НН  </t>
  </si>
  <si>
    <t xml:space="preserve">Баланс электрической энергии по сетям ВН, СН1, СН2 и НН  </t>
  </si>
  <si>
    <t>ПРОЧИЕ</t>
  </si>
  <si>
    <t>млн.кВтч</t>
  </si>
  <si>
    <t xml:space="preserve">Расшифровка п. 3.1 (Полезный отпуск потребителям,  присоединенным к сети) </t>
  </si>
  <si>
    <t>ДОЛЯ содержания НА СТОРОННИХ</t>
  </si>
  <si>
    <t xml:space="preserve">Плата за аренду имущества и лизинг </t>
  </si>
  <si>
    <t>Расходы по аренде имущества</t>
  </si>
  <si>
    <t>Аренда объектов электросетевого хозяйства</t>
  </si>
  <si>
    <t>Аренда зданий, соружений, помещений, основных средств</t>
  </si>
  <si>
    <t>Аренда транспортных средств</t>
  </si>
  <si>
    <t>Лизинг</t>
  </si>
  <si>
    <t>Обзнач. в Методических указаниях</t>
  </si>
  <si>
    <t>Оценка достижения показателя уровня надежности   оказываемых услуг</t>
  </si>
  <si>
    <t>Оценка достижения показателя уровня качества оказываемых услуг</t>
  </si>
  <si>
    <t xml:space="preserve">Обобщенный показатель уровня надежности и качества оказываемых услуг </t>
  </si>
  <si>
    <t xml:space="preserve">                           </t>
  </si>
  <si>
    <t>Максимальный процент корректировки, %</t>
  </si>
  <si>
    <t>Коэффициент, корректирующий НВВ с учетом надежности и качества оказываемых услуг</t>
  </si>
  <si>
    <t>Утвержденная НВВ на содержание электрических сетей (тыс. руб.)</t>
  </si>
  <si>
    <t>Величина корректировки НВВ с учетом надежности и качества оказываемых услуг</t>
  </si>
  <si>
    <t>Месяц  (Период)</t>
  </si>
  <si>
    <t>Объем отпуска электрической энергии в сеть для передачи сторонним потребителям</t>
  </si>
  <si>
    <t>Цена покупки потерь электрической энергии</t>
  </si>
  <si>
    <t>Величина корректировки</t>
  </si>
  <si>
    <t>План</t>
  </si>
  <si>
    <t>Учтенная при установлении тарифа</t>
  </si>
  <si>
    <t>Фактическая цена</t>
  </si>
  <si>
    <t>руб/тыс.кВт.ч</t>
  </si>
  <si>
    <t>2008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</si>
  <si>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</si>
  <si>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</si>
  <si>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</si>
  <si>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</si>
  <si>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</si>
  <si>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</si>
  <si>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</si>
  <si>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</si>
  <si>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</si>
  <si>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</si>
  <si>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</si>
  <si>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</si>
  <si>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ВСЕГО:</t>
  </si>
  <si>
    <t>1</t>
  </si>
  <si>
    <t>2</t>
  </si>
  <si>
    <t>4</t>
  </si>
  <si>
    <t>5</t>
  </si>
  <si>
    <t>9</t>
  </si>
  <si>
    <t>Утвержденный норматив потерь</t>
  </si>
  <si>
    <t>Первоначальная стоимость</t>
  </si>
  <si>
    <t>Годовая амортизация</t>
  </si>
  <si>
    <t>кол-во месяцев использования</t>
  </si>
  <si>
    <t xml:space="preserve">Другие обязательные платежи </t>
  </si>
  <si>
    <t>№ пп</t>
  </si>
  <si>
    <t>Инв. №</t>
  </si>
  <si>
    <t>Собственник имущества - арендодатель</t>
  </si>
  <si>
    <t>Срок договора аренды</t>
  </si>
  <si>
    <t>Срок амортизации, лет</t>
  </si>
  <si>
    <t xml:space="preserve"> объект аренды </t>
  </si>
  <si>
    <t>Дата ввода в эксплуатацию</t>
  </si>
  <si>
    <t>Описание и местонахождения имущества</t>
  </si>
  <si>
    <t>Реквизиты договора аренды (дата , №)</t>
  </si>
  <si>
    <t>ИТОГО</t>
  </si>
  <si>
    <t xml:space="preserve">Реквизиты договора </t>
  </si>
  <si>
    <t xml:space="preserve">Срок договора </t>
  </si>
  <si>
    <t xml:space="preserve"> объект </t>
  </si>
  <si>
    <t>Анализ основных технико-экономических показателей за 2 предшествующих года, текущий год и расчетный период регулирования</t>
  </si>
  <si>
    <t>Изменение к предыдующему году</t>
  </si>
  <si>
    <t>Рост к предыдующему году, %</t>
  </si>
  <si>
    <t xml:space="preserve">                      Наименование</t>
  </si>
  <si>
    <t>Электроэнергия</t>
  </si>
  <si>
    <t>Поступление в сеть</t>
  </si>
  <si>
    <t>Потери в электрической сети, в т.ч. относимые на:</t>
  </si>
  <si>
    <t>собственное потребление</t>
  </si>
  <si>
    <t>передачу сторонним потребителям (субабонентам)</t>
  </si>
  <si>
    <t>Относительные потери</t>
  </si>
  <si>
    <t>Отпуск из сети (полезный отпуск ), в т.ч. для</t>
  </si>
  <si>
    <t>собственного потребления</t>
  </si>
  <si>
    <t>передачи сторонним потребителям (субабонентам)</t>
  </si>
  <si>
    <t>4.2.1.</t>
  </si>
  <si>
    <t>Доля передачи сторонним потребителям</t>
  </si>
  <si>
    <t>НВВ</t>
  </si>
  <si>
    <t>НВВ (на сторонних потребителей)</t>
  </si>
  <si>
    <t>содержание сетей (всего)</t>
  </si>
  <si>
    <t>в т.ч. содержание сетей (насторонних)</t>
  </si>
  <si>
    <t>затраты на компенсацию потерь (на сторонних)</t>
  </si>
  <si>
    <t>1.2.1.</t>
  </si>
  <si>
    <t>цена покупки потерь (для сторонних)</t>
  </si>
  <si>
    <t>руб./тыс.кВтч</t>
  </si>
  <si>
    <t>Сетевая организация                                                                                             ___________________________________</t>
  </si>
  <si>
    <t>Расходы, связанные с компенсацией выпадающих доходов от льготного ТП на период регулирования</t>
  </si>
  <si>
    <t>СПРАВОЧНО:</t>
  </si>
  <si>
    <t>Расшифровка других прочих расходов 1.3.7</t>
  </si>
  <si>
    <t>Расшифровка подконтрольных расходов из прибыли 1.4</t>
  </si>
  <si>
    <t xml:space="preserve">Численность </t>
  </si>
  <si>
    <t>Расчет средств на оплату труда</t>
  </si>
  <si>
    <t xml:space="preserve">Среднемесячная тарифная ставка </t>
  </si>
  <si>
    <t>Всего годовой фонд на оплату труда (п.12*п.1*12/1000)</t>
  </si>
  <si>
    <t>Показатель</t>
  </si>
  <si>
    <t>Разряд</t>
  </si>
  <si>
    <t>5/100</t>
  </si>
  <si>
    <t>4,5/100</t>
  </si>
  <si>
    <t>4/100</t>
  </si>
  <si>
    <t>3,5/100</t>
  </si>
  <si>
    <t>3/100</t>
  </si>
  <si>
    <t>3.Трансформаторные подстанции:</t>
  </si>
  <si>
    <t>шт</t>
  </si>
  <si>
    <t>2,5/100</t>
  </si>
  <si>
    <t>2,7/100</t>
  </si>
  <si>
    <t>4. Масляные выключатели</t>
  </si>
  <si>
    <t>9,5/1000</t>
  </si>
  <si>
    <t>5.Выключатели нагрузки</t>
  </si>
  <si>
    <t>4/1000</t>
  </si>
  <si>
    <t>6.Абоненты бытового сектора</t>
  </si>
  <si>
    <t>3,5/10000</t>
  </si>
  <si>
    <t>7.Прочие абоненты</t>
  </si>
  <si>
    <t>2,6/1000</t>
  </si>
  <si>
    <t>8 Концевые заделки</t>
  </si>
  <si>
    <t>2/10000</t>
  </si>
  <si>
    <t>шт.</t>
  </si>
  <si>
    <t>С учетом подмены 1,18</t>
  </si>
  <si>
    <t>Дежурные</t>
  </si>
  <si>
    <t>Итого ППП</t>
  </si>
  <si>
    <t>Директор</t>
  </si>
  <si>
    <t>Главный бухгалтер</t>
  </si>
  <si>
    <t>Бухгалтер</t>
  </si>
  <si>
    <t>2/100</t>
  </si>
  <si>
    <t>Делопроизводство</t>
  </si>
  <si>
    <t>0,5/100</t>
  </si>
  <si>
    <t>Охрана труда и ТБ</t>
  </si>
  <si>
    <t>Правовое обслуж</t>
  </si>
  <si>
    <t>Эконом и план</t>
  </si>
  <si>
    <t>Организация сбыта э/э</t>
  </si>
  <si>
    <t>Програмное обеспеч</t>
  </si>
  <si>
    <t>0,5/8</t>
  </si>
  <si>
    <t>Оперативно диспетчерское упр</t>
  </si>
  <si>
    <t>1/3200</t>
  </si>
  <si>
    <t>Организация ремонта релейной защиты</t>
  </si>
  <si>
    <t>1/200</t>
  </si>
  <si>
    <t>Организация ремонта трансформаторов</t>
  </si>
  <si>
    <t>0,5/250</t>
  </si>
  <si>
    <t>Организация ремонта района</t>
  </si>
  <si>
    <t>1/30</t>
  </si>
  <si>
    <t>Организация ремонта эл.счетчиков</t>
  </si>
  <si>
    <t>Водитель</t>
  </si>
  <si>
    <t>Расчет нормативной численности   и среднего разряда работающего персонала  по предприятию</t>
  </si>
  <si>
    <t>ИТР И АУП</t>
  </si>
  <si>
    <t>ППП</t>
  </si>
  <si>
    <t>2.2.1</t>
  </si>
  <si>
    <t>2.2.2</t>
  </si>
  <si>
    <t>2.2.3</t>
  </si>
  <si>
    <t>2.2.4</t>
  </si>
  <si>
    <t>2.2.10</t>
  </si>
  <si>
    <t>2.2.7</t>
  </si>
  <si>
    <t>2.2.11</t>
  </si>
  <si>
    <t>2.1.1</t>
  </si>
  <si>
    <t>2.1.2</t>
  </si>
  <si>
    <t>2.1.3</t>
  </si>
  <si>
    <t>2.1.4</t>
  </si>
  <si>
    <t>2.1.5</t>
  </si>
  <si>
    <t>2.1.6</t>
  </si>
  <si>
    <t>2.1.7</t>
  </si>
  <si>
    <t>2.1.9</t>
  </si>
  <si>
    <t>Всего работников</t>
  </si>
  <si>
    <t>1/100</t>
  </si>
  <si>
    <t xml:space="preserve">      дерево на ж\б пасынках</t>
  </si>
  <si>
    <t xml:space="preserve">     0,4 кВ дерево на ж\б пасынках</t>
  </si>
  <si>
    <t xml:space="preserve">     0,4 кВ ж\б,металл</t>
  </si>
  <si>
    <t xml:space="preserve">     0,4кВ  дерево</t>
  </si>
  <si>
    <t xml:space="preserve">2. Кабельные линии: </t>
  </si>
  <si>
    <t>1.Воздушные линии:</t>
  </si>
  <si>
    <t xml:space="preserve">      1-20 кВ на ж\б опорах</t>
  </si>
  <si>
    <t>Нормативная численность, чел.</t>
  </si>
  <si>
    <t>Норма обслуж., чел.</t>
  </si>
  <si>
    <t>Кол-во оборудования</t>
  </si>
  <si>
    <t xml:space="preserve">Пункт приказа
от 03.04.2000г. N 68 госкомитета РФ по строительству и ЖКК
</t>
  </si>
  <si>
    <t>Обслуживающий персонал:</t>
  </si>
  <si>
    <t>разряд* норм. числен.</t>
  </si>
  <si>
    <t xml:space="preserve">      3-10кВ</t>
  </si>
  <si>
    <t xml:space="preserve">     до 1 кВ</t>
  </si>
  <si>
    <t xml:space="preserve">   с одним трансформатором</t>
  </si>
  <si>
    <t xml:space="preserve">   с двумя трансформаторами</t>
  </si>
  <si>
    <t xml:space="preserve">   мачтовая(столбовая) ТП</t>
  </si>
  <si>
    <t>9. Дизельные электростанции</t>
  </si>
  <si>
    <t>1/10000</t>
  </si>
  <si>
    <t>0,5/5000</t>
  </si>
  <si>
    <t>Утилизация промышленных, опасных и хозяйственных отходов</t>
  </si>
  <si>
    <t>Дезинфекция</t>
  </si>
  <si>
    <t>Помощь к отпуску</t>
  </si>
  <si>
    <t>Премия ко дню энергетика</t>
  </si>
  <si>
    <t>Другие</t>
  </si>
  <si>
    <t xml:space="preserve">Прибыль на социальное развитие </t>
  </si>
  <si>
    <t>Прибыль на поощрение (в т.ч. выплаты соц. характера)</t>
  </si>
  <si>
    <t>Нагрузочные потери</t>
  </si>
  <si>
    <t>Поставка газа</t>
  </si>
  <si>
    <t>Обслуживание газового оборудования</t>
  </si>
  <si>
    <t>Обслуживание пожарной сигнализации</t>
  </si>
  <si>
    <t>Расчет расходов на прочие налоги и сборы</t>
  </si>
  <si>
    <t>Участие в СРО</t>
  </si>
  <si>
    <t>НСД с расходов из прибыли</t>
  </si>
  <si>
    <t>Налог на прибыль с разницы между бухгалтерским и налоговым учетом</t>
  </si>
  <si>
    <r>
      <t>в т.ч. технологический расход (потерь) электрической энергии (</t>
    </r>
    <r>
      <rPr>
        <b/>
        <sz val="10"/>
        <color indexed="8"/>
        <rFont val="Times New Roman"/>
        <family val="1"/>
        <charset val="204"/>
      </rPr>
      <t>из сводного прогнозного баланса производства и поставок электрической энергии</t>
    </r>
    <r>
      <rPr>
        <b/>
        <sz val="10"/>
        <rFont val="Times New Roman"/>
        <family val="1"/>
        <charset val="204"/>
      </rPr>
      <t xml:space="preserve"> - отнесенные на сторонних)</t>
    </r>
  </si>
  <si>
    <t>Рост НВВ</t>
  </si>
  <si>
    <t>рост НВВ содержание</t>
  </si>
  <si>
    <t>рост НВВ потери</t>
  </si>
  <si>
    <t>исключить по ТП</t>
  </si>
  <si>
    <t>Корректировка подконтрольных расходов в связи с изменением планируемых параметров расчета тарифов</t>
  </si>
  <si>
    <t>Обозначение в МУ</t>
  </si>
  <si>
    <t>индекс эффективности подконтрольных расходов, установленный в процентах</t>
  </si>
  <si>
    <t>фактическое значение ИПЦ в году i-2</t>
  </si>
  <si>
    <t>ПР установленные на i-3 год</t>
  </si>
  <si>
    <t>ПР установленные на i-2 год</t>
  </si>
  <si>
    <t>фактическое значение УЕ в i-2 году</t>
  </si>
  <si>
    <t>фактическое значение УЕ в i-3 году</t>
  </si>
  <si>
    <t>коэффициент элластичности</t>
  </si>
  <si>
    <t>Выручка от продажи товаров, продукции, работ, услуг</t>
  </si>
  <si>
    <t>Себестоимость проданных товаров, продукции, работ,   услуг</t>
  </si>
  <si>
    <t>Прибыль (убыток) от продаж</t>
  </si>
  <si>
    <t xml:space="preserve">Основные финансово-экономические показатели хозяйственной деятельности </t>
  </si>
  <si>
    <t>Динамика изменения условных единиц предприятия:</t>
  </si>
  <si>
    <t xml:space="preserve">Объем У.Е., в.т.ч. по уровням напряжения </t>
  </si>
  <si>
    <t>Заявленная мощность</t>
  </si>
  <si>
    <t>МВт</t>
  </si>
  <si>
    <t>Присоединенная мощность</t>
  </si>
  <si>
    <t>МВА</t>
  </si>
  <si>
    <t>Поступление ЭЭ в сеть</t>
  </si>
  <si>
    <t>МВт*ч</t>
  </si>
  <si>
    <t>Полезный отпуск</t>
  </si>
  <si>
    <t>Потери</t>
  </si>
  <si>
    <t xml:space="preserve">Объем оказываемых услуг </t>
  </si>
  <si>
    <t>примечание</t>
  </si>
  <si>
    <t>п.11  МУ 98-э</t>
  </si>
  <si>
    <t>изменено как в RAB</t>
  </si>
  <si>
    <t>Работы и услуги производственного характера</t>
  </si>
  <si>
    <t>цена ээ</t>
  </si>
  <si>
    <t>АТС</t>
  </si>
  <si>
    <t>СО</t>
  </si>
  <si>
    <t>ЦФР</t>
  </si>
  <si>
    <t>числ</t>
  </si>
  <si>
    <t>ФОТ</t>
  </si>
  <si>
    <t>ЗП</t>
  </si>
  <si>
    <t>по согласованным данным с МРСК</t>
  </si>
  <si>
    <t>в расчете на заявленную мощность в среднем по году</t>
  </si>
  <si>
    <t>согласованные объемы с МРСК</t>
  </si>
  <si>
    <t>О.Н Голыхову</t>
  </si>
  <si>
    <t xml:space="preserve"> Принять долгосрочные параметры регулирования  и необходимую валовую выручку на долгосрочный период регулирования (без учета оплаты потерь):</t>
  </si>
  <si>
    <t>руб./МВт.мес.</t>
  </si>
  <si>
    <r>
      <t>4.</t>
    </r>
    <r>
      <rPr>
        <sz val="7"/>
        <rFont val="Times New Roman"/>
        <family val="1"/>
        <charset val="204"/>
      </rPr>
      <t xml:space="preserve">   </t>
    </r>
    <r>
      <rPr>
        <sz val="14"/>
        <rFont val="Times New Roman"/>
        <family val="1"/>
        <charset val="204"/>
      </rPr>
      <t>Отпуск (передача) электроэнергии ТСО (таблица 1.30).</t>
    </r>
  </si>
  <si>
    <t>Реквизиты организации</t>
  </si>
  <si>
    <t>поступление на норматив</t>
  </si>
  <si>
    <t>Данные по П-4</t>
  </si>
  <si>
    <t>Расчет расходов на оплату труда</t>
  </si>
  <si>
    <t xml:space="preserve">договор  с ООО "Газпром межрегионгаз Рязань" от  №  </t>
  </si>
  <si>
    <t>договор № ________ от __</t>
  </si>
  <si>
    <t>Анализ динамики и структуры баланса</t>
  </si>
  <si>
    <t>Наименование показателя</t>
  </si>
  <si>
    <t>Изменения</t>
  </si>
  <si>
    <t>Код</t>
  </si>
  <si>
    <t>Структура на начало года</t>
  </si>
  <si>
    <t>Структура на конец года</t>
  </si>
  <si>
    <t>В абсолютных величинах</t>
  </si>
  <si>
    <t>В структуре</t>
  </si>
  <si>
    <t>В % к началу года</t>
  </si>
  <si>
    <t>В % к концу года</t>
  </si>
  <si>
    <t>АКТИВ</t>
  </si>
  <si>
    <t>I. ВНЕОБОРОТНЫЕ АКТИВЫ</t>
  </si>
  <si>
    <t>Нематериальные активы</t>
  </si>
  <si>
    <t>Результаты исследований и разработок</t>
  </si>
  <si>
    <t>Нематериальные поисковые активы</t>
  </si>
  <si>
    <t>Материальные поисковые активы</t>
  </si>
  <si>
    <t>Основные средства</t>
  </si>
  <si>
    <t>Доходные вложения в материальные ценности</t>
  </si>
  <si>
    <t>Финансовые вложения</t>
  </si>
  <si>
    <t>Отложенные налоговые активы</t>
  </si>
  <si>
    <t>Прочие внеоборотные активы</t>
  </si>
  <si>
    <t>Итого по разделу I</t>
  </si>
  <si>
    <t>II. ОБОРОТНЫЕ АКТИВЫ</t>
  </si>
  <si>
    <t>Запасы</t>
  </si>
  <si>
    <t>Налог на добавленную стоимость по приобретенным ценностям</t>
  </si>
  <si>
    <t>Дебиторская задолженность</t>
  </si>
  <si>
    <t>Финансовые вложения (за исключением денежных эквивалентов)</t>
  </si>
  <si>
    <t>Денежные средства и денежные эквиваленты</t>
  </si>
  <si>
    <t>Прочие оборотные активы</t>
  </si>
  <si>
    <t>Итого по разделу II</t>
  </si>
  <si>
    <t>БАЛАНС</t>
  </si>
  <si>
    <t>ПАССИВ</t>
  </si>
  <si>
    <t>III. КАПИТАЛ И РЕЗЕРВЫ</t>
  </si>
  <si>
    <t>Уставный капитал (складочный капитал, уставный фонд, вклады товарищей)</t>
  </si>
  <si>
    <t>Собственные акции, выкупленные у акционеров</t>
  </si>
  <si>
    <t>Переоценка внеоборотных активов</t>
  </si>
  <si>
    <t>Добавочный капитал (без переоценки)</t>
  </si>
  <si>
    <t>Резервный капитал</t>
  </si>
  <si>
    <t>Нераспределенная прибыль (непокрытый убыток)</t>
  </si>
  <si>
    <t>Итого по разделу III</t>
  </si>
  <si>
    <t>IV. ДОЛГОСРОЧНЫЕ ОБЯЗАТЕЛЬСТВА</t>
  </si>
  <si>
    <t>Заемные средства</t>
  </si>
  <si>
    <t>Отложенные налоговые обязательства</t>
  </si>
  <si>
    <t>Оценочные обязательства</t>
  </si>
  <si>
    <t>Прочие обязательства</t>
  </si>
  <si>
    <t>Итого по разделу IV</t>
  </si>
  <si>
    <t>V. КРАТКОСРОЧНЫЕ ОБЯЗАТЕЛЬСТВА</t>
  </si>
  <si>
    <t>Кредиторская задолженность</t>
  </si>
  <si>
    <t>Доходы будущих периодов</t>
  </si>
  <si>
    <t>Итого по разделу V</t>
  </si>
  <si>
    <t>Изменение в абсолютных величинах</t>
  </si>
  <si>
    <t>Изменение в относительных процентах</t>
  </si>
  <si>
    <t>Выручка</t>
  </si>
  <si>
    <t>Себестоимость продаж</t>
  </si>
  <si>
    <t>Валовая прибыль (убыток)</t>
  </si>
  <si>
    <t>Коммерческие расходы</t>
  </si>
  <si>
    <t>Управленческие расходы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</si>
  <si>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</si>
  <si>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</si>
  <si>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</si>
  <si>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</si>
  <si>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Прочие расходы</t>
  </si>
  <si>
    <t>Прибыль (убыток) до налогообложения</t>
  </si>
  <si>
    <t>Текущий налог на прибыль</t>
  </si>
  <si>
    <t xml:space="preserve">        в т.ч. постоянные налоговые обязательства (активы)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</si>
  <si>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</si>
  <si>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</si>
  <si>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</si>
  <si>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</si>
  <si>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 xml:space="preserve">Наименование сетевой организации </t>
  </si>
  <si>
    <t>Для установления индивидуальных тарифов</t>
  </si>
  <si>
    <r>
      <t>1.</t>
    </r>
    <r>
      <rPr>
        <b/>
        <sz val="7"/>
        <rFont val="Times New Roman"/>
        <family val="1"/>
        <charset val="204"/>
      </rPr>
      <t xml:space="preserve">     </t>
    </r>
    <r>
      <rPr>
        <b/>
        <sz val="14"/>
        <rFont val="Times New Roman"/>
        <family val="1"/>
        <charset val="204"/>
      </rPr>
      <t xml:space="preserve">Официальное заявление </t>
    </r>
  </si>
  <si>
    <t>2018 факт</t>
  </si>
  <si>
    <t>2018 план</t>
  </si>
  <si>
    <t>2019 план</t>
  </si>
  <si>
    <r>
      <t xml:space="preserve"> Расчетные материалы, представляются в ГУ РЭК Рязанской области в </t>
    </r>
    <r>
      <rPr>
        <b/>
        <sz val="20"/>
        <rFont val="Times New Roman"/>
        <family val="1"/>
        <charset val="204"/>
      </rPr>
      <t>одном экземпляре, сшитые и пронумерованные в скоросшиватель, с соответствующим перечнем</t>
    </r>
    <r>
      <rPr>
        <b/>
        <sz val="14"/>
        <rFont val="Times New Roman"/>
        <family val="1"/>
        <charset val="204"/>
      </rPr>
      <t xml:space="preserve"> (заявлением, реквизитами организации, оглавлением,  учредительными документами (устав, свидетельство о постановке на учет в налоговом органе, свидетельство о регистрации), документы , подтверждающие право собственности на имущество (свидетельство, договор аренды, план приватизации), </t>
    </r>
    <r>
      <rPr>
        <b/>
        <sz val="20"/>
        <rFont val="Times New Roman"/>
        <family val="1"/>
        <charset val="204"/>
      </rPr>
      <t>пояснительной запиской</t>
    </r>
    <r>
      <rPr>
        <b/>
        <sz val="14"/>
        <rFont val="Times New Roman"/>
        <family val="1"/>
        <charset val="204"/>
      </rPr>
      <t xml:space="preserve"> (в пояснительной записке указывается краткая характеристика предприятия, все причины, обосновывающие необходимость установления или пересмотра тарифа с постатейными расшифровками, а также необходимые вычисления, проводимые при формировании затрат, прибыли и калькуляции себестоимости, как плановой, так и фактической), расчетными таблицами, обосновывающими материалами. Кроме того, представляется расчет в электронном виде (на электронном носителе, и по электронной почте info@rek.ryazan.ru ) </t>
    </r>
  </si>
  <si>
    <t>Таблицы  и расчеты предоставляются в соответствии с «Методическими указаниями по расчету регулируемых тарифов и цен на электрическую (тепловую)энергию на розничном (потребительском) рынке», утвержденными Приказом ФСТ России от 06.08.2004 N 20-э/2 и   Методическими указаниями по расчету тарифов на услуги по передаче электрической энергии, устанавливаемых с применением метода долгосрочной индексации необходимой валовой выручки, утвержденными Приказом ФСТ РФ от 17.02.2012 N 98-э
.</t>
  </si>
  <si>
    <t>1. Бухгалтерская отчетность за 2018 год, представляемая по формам, утвержденным Приказом Министерства финансов Российской Федерации от 22.07.2003 N 67н "О формах бухгалтерской отчетности организаций":</t>
  </si>
  <si>
    <t>2. Налоговые декларации по транспортному налогу, налогу на землю, налогу на имущество, налогу на прибыль за 2018 год, документы о налоговых льготах.</t>
  </si>
  <si>
    <t>4. Статистическая форма 5-З "Сведения о затратах на производство и продажу продукции (товаров, работ, услуг)" за 2018 год.</t>
  </si>
  <si>
    <t xml:space="preserve">5.Статотчетность по форме 46-ээ (передача) за 2018 год. </t>
  </si>
  <si>
    <t>6. Отчетность, содержащая данные раздельного учета, согласно приложению №1 к Порядку, утвержденного приказом Министерства энергетики Российской Федерации от 13 декабря 2011г. №585</t>
  </si>
  <si>
    <t>Система условных единиц для распределения общей суммы тарифной выручки по классам напряжения (таблицы 2.1., 2.2) факт 2018 и план 2020-2024</t>
  </si>
  <si>
    <t xml:space="preserve"> статистическая форма П-4 " Сведения о численности, заработной плате и движении работников» по предприятию за 2018 год;</t>
  </si>
  <si>
    <t xml:space="preserve"> договоры с подрядными организациями, заключенные на расчетный период регулирования, прошедшие конкурсную процедуру;</t>
  </si>
  <si>
    <t xml:space="preserve"> договоры на выполнение работ. </t>
  </si>
  <si>
    <t xml:space="preserve"> -реестр договоров на поставку материалов;</t>
  </si>
  <si>
    <t>10. Программа энергосбережения</t>
  </si>
  <si>
    <t>11. Показатели надежности и качества</t>
  </si>
  <si>
    <t>12. Информация о согласованных объемах  ( с ОАО "РЭСК" и филиалом «Рязаньэнерго» ОАО «МРСК Центра и Приволжья»)</t>
  </si>
  <si>
    <t>При заполнении таблиц в столбце «базовый период» указывать факт 2018 года, в столбце «период регулирования» – план 2020 года.</t>
  </si>
  <si>
    <t>9. Инвестиционная программа</t>
  </si>
  <si>
    <t xml:space="preserve">Начальнику ГУ РЭК </t>
  </si>
  <si>
    <t>№_______ от _____________2019г.</t>
  </si>
  <si>
    <t>ОКОПФ</t>
  </si>
  <si>
    <t>ФАКТ 2018</t>
  </si>
  <si>
    <t>ПЛАН 2019</t>
  </si>
  <si>
    <t>2020 план</t>
  </si>
  <si>
    <t>Расшифровка статьи  п.1.1.2</t>
  </si>
  <si>
    <t xml:space="preserve">Расшифровка статьи  п.1.1.1 </t>
  </si>
  <si>
    <t>2020 РЭК</t>
  </si>
  <si>
    <t>ИТОГО оплата услуг ОАО "ФСК ЕЭС" (с учтом нагрузочных потерь)</t>
  </si>
  <si>
    <t>факт 2018, тыс. руб.</t>
  </si>
  <si>
    <t>утверждено 2019, тыс. руб.</t>
  </si>
  <si>
    <t>Предложение организации на 2020</t>
  </si>
  <si>
    <t>Остаточная стоимость на 31.12.2019г., руб.</t>
  </si>
  <si>
    <t>Остаточная стоимость на 31.12.2020г., руб.</t>
  </si>
  <si>
    <t>Предложение организации на 2020, тыс. руб.</t>
  </si>
  <si>
    <t xml:space="preserve">План на 2020 год </t>
  </si>
  <si>
    <t>2019 год утвержд.</t>
  </si>
  <si>
    <t>Расчет среднегодовой стоимости основных производственных фондов по линиям электропередач и подстанциям за 2020 год</t>
  </si>
  <si>
    <t>Корректировка НВВ в связи с изменением (неисполнением) инвестиционной программы по результатам 2018 года</t>
  </si>
  <si>
    <t>Утверждено на 2018 год</t>
  </si>
  <si>
    <t>факт 2017</t>
  </si>
  <si>
    <t>Расчет размера расходов, связанных с осуществлением технологического присоединения к электрическим сетям энергопринимающих устройств Заявителей с максимальной мощностью 15 кВт включительно, не включаемых в состав платы за технологическое присоединение</t>
  </si>
  <si>
    <t xml:space="preserve">№ п/п    </t>
  </si>
  <si>
    <t>ставка платы (руб./кВт, руб./км)</t>
  </si>
  <si>
    <t>мощность, длина линий (кВт, км)</t>
  </si>
  <si>
    <t>Сумма (в соответствии с актами приемки выполненных работ) (тыс. руб.)</t>
  </si>
  <si>
    <t>стандарт. тариф. ставка (руб./кВт, руб./км)</t>
  </si>
  <si>
    <t>сумма (тыс. руб.)</t>
  </si>
  <si>
    <t>Расходы на выполнение организационных мероприятий, связанные с осуществлением технологического присоединения (ТП)
[п.1.1 + п.1.2 + п.1.3 + п.1.4]:</t>
  </si>
  <si>
    <t>подготовка и выдача сетевой организацией технических условий (ТУ) Заявителю, на уровне напряжения i и (или) диапазоне мощности j</t>
  </si>
  <si>
    <t xml:space="preserve">проверка сетевой организацией выполнения Заявителем ТУ, на уровне напряжения i и (или) диапазоне мощности j </t>
  </si>
  <si>
    <t xml:space="preserve">участие в осмотре должностным лицом органа федерального государственного энергетического надзора при участии сетевой организации и собственника присоединяемых Устройств Заявителя, на уровне напряжения i и (или) диапазоне мощности j </t>
  </si>
  <si>
    <t>1.4.</t>
  </si>
  <si>
    <t xml:space="preserve"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положение «включено»), на уровне напряжения i и (или) диапазоне мощности j </t>
  </si>
  <si>
    <t>Расходы по мероприятиям "последней мили", связанные с осуществлением ТП
 [п.2.1 + п.2.2 + п.2.3 + п.2.4 + 2.5]:</t>
  </si>
  <si>
    <t>строительство воздушных линий, на уровне напряжения i и (или) диапазоне мощности j</t>
  </si>
  <si>
    <t>строительство кабельных линий, на уровне напряжения i и (или) диапазоне мощности j</t>
  </si>
  <si>
    <t>2.3.</t>
  </si>
  <si>
    <t>строительством пунктов секционирования, на уровне напряжения i и (или) диапазоне мощности j</t>
  </si>
  <si>
    <t>2.4.</t>
  </si>
  <si>
    <t xml:space="preserve">строительство комплектных трансформаторных подстанций (КТП), распределительных трансформаторных подстанций (РТП) с уровнем напряжения до 35 кВ, на уровне напряжения i и (или) диапазоне мощности j </t>
  </si>
  <si>
    <t>2.5.</t>
  </si>
  <si>
    <t>строительство центров питания, подстанций уровнем напряжения 35 кВ и выше (ПС), на уровне напряжения i и (или) диапазоне мощности j</t>
  </si>
  <si>
    <t>Суммарный размер платы за ТП [п.3.1 * п.3.2 / 1000]:</t>
  </si>
  <si>
    <t>Размер платы за ТП (руб. без НДС)</t>
  </si>
  <si>
    <t xml:space="preserve">Плановое количество договоров на осуществление ТП к электрическим сетям (плановое количество членов объединений (организаций), указанных в п.18 Методических указаний по определению размера платы за ТП, утвержденных приказом ФСТ России от 11 сентября 2012 г. № 209-э/1) (шт.) </t>
  </si>
  <si>
    <r>
      <t>Размер расходов, связанных с осуществ-лением ТП</t>
    </r>
    <r>
      <rPr>
        <sz val="14"/>
        <color indexed="8"/>
        <rFont val="Times New Roman"/>
        <family val="1"/>
        <charset val="1"/>
      </rPr>
      <t xml:space="preserve"> </t>
    </r>
    <r>
      <rPr>
        <sz val="12"/>
        <color indexed="8"/>
        <rFont val="Times New Roman"/>
        <family val="1"/>
        <charset val="1"/>
      </rPr>
      <t>к электрическим сетям, не включаемых в состав платы за ТП (п.1 + п.2 – п.3)</t>
    </r>
  </si>
  <si>
    <t>Фактические данные за 2018 год</t>
  </si>
  <si>
    <t>Расчетные (фактические) данные на 2019 год</t>
  </si>
  <si>
    <t>Плановые показатели на 2020 год</t>
  </si>
  <si>
    <t>На 31.12.2018</t>
  </si>
  <si>
    <t>На 31.12.2017</t>
  </si>
  <si>
    <t>Структура 2018</t>
  </si>
  <si>
    <t>Структура 2017</t>
  </si>
  <si>
    <t xml:space="preserve">Информация о согласованных объемах электрической энергии (мощности) </t>
  </si>
  <si>
    <t>передачи сторонним потребителям (субабонентам) в  т.ч.</t>
  </si>
  <si>
    <t>4.2.1</t>
  </si>
  <si>
    <t xml:space="preserve">          переток в смежные ТСО</t>
  </si>
  <si>
    <t>Мощность</t>
  </si>
  <si>
    <t>Отпуск из сети (полезный отпуск), в т.ч. для</t>
  </si>
  <si>
    <t>передачи сторонним потребителям (субабонентам) в т.ч.</t>
  </si>
  <si>
    <t>8.2.1</t>
  </si>
  <si>
    <t>№п/п</t>
  </si>
  <si>
    <t xml:space="preserve">Вышестоящие сетевые организации, из сетей которых поступает энергия </t>
  </si>
  <si>
    <t>Поступление электроэнергии всего</t>
  </si>
  <si>
    <t>Поступление в сеть ВН ( 60-110кВ и выше)</t>
  </si>
  <si>
    <t>Поступление в сеть СН 1 (всего) ( 35 кВ)</t>
  </si>
  <si>
    <t>в т.ч. с шин подстанций ВН поставщика</t>
  </si>
  <si>
    <t>Поступление в сеть СН 2 (всего) ( 1-20кВ)</t>
  </si>
  <si>
    <t>в т.ч. с шин подстанций СН 1поставщика</t>
  </si>
  <si>
    <t>Поступление в сеть НН (всего) ( 0,4кВ)</t>
  </si>
  <si>
    <t>в т.ч. с шин подстанций СН 1 поставщика</t>
  </si>
  <si>
    <t>в т.ч. с шин подстанций СН 2 поставщика</t>
  </si>
  <si>
    <t>По физическим уровням напряжения</t>
  </si>
  <si>
    <t xml:space="preserve">Уровень напряжения </t>
  </si>
  <si>
    <t xml:space="preserve">Отпуск из сети (полезный отпуск), млн.кВт.ч. </t>
  </si>
  <si>
    <t xml:space="preserve">В т.ч. переток в смежные ТСО, млн.кВт.ч. </t>
  </si>
  <si>
    <t>Максимальная** мощность по полезному отпуску, МВт</t>
  </si>
  <si>
    <t xml:space="preserve">В т.ч. максимальная** мощность по перетоку в смежные ТСО, МВт </t>
  </si>
  <si>
    <t>Заявленная (расчетная) мощность по полезному отпуску, МВт</t>
  </si>
  <si>
    <t>В т.ч. заявленная (расчетная) мощность по перетоку в смежные ТСО, МВт</t>
  </si>
  <si>
    <t xml:space="preserve"> ВН ( 60-110кВ и выше)</t>
  </si>
  <si>
    <t xml:space="preserve"> СН 1 ( 35 кВ)</t>
  </si>
  <si>
    <t xml:space="preserve"> СН 2  ( 1-20 кВ)</t>
  </si>
  <si>
    <t xml:space="preserve"> НН  ( 0,4 кВ)</t>
  </si>
  <si>
    <t xml:space="preserve"> Всего</t>
  </si>
  <si>
    <t>По тарифным уровням напряжения</t>
  </si>
  <si>
    <t>Объем установленной мощности трансформаторов и максимальной мощности сетевой организации</t>
  </si>
  <si>
    <t>5. Перечень потребителей с максимальной мощностью не менее 670 кВт</t>
  </si>
  <si>
    <t>Наименование вышестоящей сетевой организации, к сетям которой осуществлено присоединение</t>
  </si>
  <si>
    <t>Номинальная установленная мощность трансформаторов, МВА</t>
  </si>
  <si>
    <t>Максимальная мощность,МВт</t>
  </si>
  <si>
    <t>Наименование потребителей</t>
  </si>
  <si>
    <t>* Заявленная мощность - величина мощности, планируемой к использованию в предстоящем расчетном периоде регулирования.</t>
  </si>
  <si>
    <t>**  Максимальная мощность - наибольшая величина мощности, определенная к одномоментному использованию энергопринимающими устройствами в соответствии с документами о технологическом присоединении.</t>
  </si>
  <si>
    <t>Согласовано:</t>
  </si>
  <si>
    <t>АО «РОЭК»                                                                                                ___________________________________  Генеральный директор  Н.А.Ковшов</t>
  </si>
  <si>
    <t>Филиал "Рязаньэнерго" ПАО "МРСК Центра и Приволжья"    _________________________________  Заместитель директора по реализации и развитию услуг В.С. Воронков</t>
  </si>
  <si>
    <t>ПАО «РЭСК»                                                                                            ___________________________________  Начальник управления реализации электрической энергии В.Ю.Карасев</t>
  </si>
  <si>
    <t>Полное наименование сетевой организации      ______________________________________</t>
  </si>
  <si>
    <t xml:space="preserve">Плановый объем поступления электроэнергии (мощности) в сеть на 2020 год </t>
  </si>
  <si>
    <t>факт 2018</t>
  </si>
  <si>
    <t>план 2020</t>
  </si>
  <si>
    <t>Факт           
2018 год</t>
  </si>
  <si>
    <t>План           
2020 год</t>
  </si>
  <si>
    <t>План Январь 2020 год</t>
  </si>
  <si>
    <t>План 
Февраль 2020 год</t>
  </si>
  <si>
    <t>План 
Март 
2020 год</t>
  </si>
  <si>
    <t>План     
Май 
2020 год</t>
  </si>
  <si>
    <t>План 
Июнь 
2020 год</t>
  </si>
  <si>
    <t>План 1 п/г    
2020 год</t>
  </si>
  <si>
    <t>План 
Июль 
2020 год</t>
  </si>
  <si>
    <t>План 
Август 
2020 год</t>
  </si>
  <si>
    <t>План 
Сентябрь     
2020 год</t>
  </si>
  <si>
    <t>План 
Октябрь 
2020 год</t>
  </si>
  <si>
    <t>План 
Ноябрь 
2020 год</t>
  </si>
  <si>
    <t>План 
Декабрь 
2020 год</t>
  </si>
  <si>
    <t>План 2 п/г  
2020 год</t>
  </si>
  <si>
    <t>ИТОГО РАСХОДОВ</t>
  </si>
  <si>
    <t>Смета расходов и доходов</t>
  </si>
  <si>
    <t>ИТОГО ДОХОДОВ</t>
  </si>
  <si>
    <t>передача э/э</t>
  </si>
  <si>
    <t>техприсоединение</t>
  </si>
  <si>
    <t>причие виды деятельности</t>
  </si>
  <si>
    <t>водоснабжение</t>
  </si>
  <si>
    <t>водоотведение</t>
  </si>
  <si>
    <t>баня</t>
  </si>
  <si>
    <t>Оплата потерь</t>
  </si>
  <si>
    <t>Прибыль до налогообложения</t>
  </si>
  <si>
    <t>Справочно</t>
  </si>
  <si>
    <t>чистая прибыль</t>
  </si>
  <si>
    <t>Месяц</t>
  </si>
  <si>
    <t>Объем нормативных потерь</t>
  </si>
  <si>
    <t>Ставка на содержание сетей</t>
  </si>
  <si>
    <t>Ставка на оплату потерь</t>
  </si>
  <si>
    <t>Оплата услуг ФСК РФ</t>
  </si>
  <si>
    <t>на содержание сетей</t>
  </si>
  <si>
    <t>на оплату потерь</t>
  </si>
  <si>
    <t>всего</t>
  </si>
  <si>
    <t>руб/МВт в мес</t>
  </si>
  <si>
    <t>руб/МВт*ч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</si>
  <si>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</si>
  <si>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</si>
  <si>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</si>
  <si>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</si>
  <si>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</si>
  <si>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</si>
  <si>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</si>
  <si>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</si>
  <si>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</si>
  <si>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</si>
  <si>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</si>
  <si>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</si>
  <si>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Свод по актам об оказании услуг по передаче электрической энергии                                          ПАО "ФСК ЕЭС" за 2018 год</t>
  </si>
  <si>
    <t>Отпуск в сеть</t>
  </si>
  <si>
    <t xml:space="preserve">Корректировка НВВ с учетом изменения полезного отпуска и цен на электрическую энергию           </t>
  </si>
  <si>
    <t>в соответствии с п. 24 Основ ценообразования в области регулируемых цен (тарифо) в элетроэнергетике</t>
  </si>
  <si>
    <t>в соответствии с п. 26 Основ ценообразования</t>
  </si>
  <si>
    <t>в соответствии с п. 25 Основ ценообразования</t>
  </si>
  <si>
    <t>в соответствии с п. 28 Основ ценообразования</t>
  </si>
  <si>
    <t xml:space="preserve"> </t>
  </si>
  <si>
    <t xml:space="preserve">в соответствии с п. 28 Основ ценообразования  </t>
  </si>
  <si>
    <t xml:space="preserve"> в соответствии с п. 28 Основ ценообразования </t>
  </si>
  <si>
    <t xml:space="preserve">в соответствии с п. 28 Основ ценообразования </t>
  </si>
  <si>
    <t xml:space="preserve">в соответствии с п. 20 ОСНОВ 1178 по данным бухгалтерского учета за последний истекший период, относ к передаче и ТП .
</t>
  </si>
  <si>
    <t>в соответствии с п. 27 Основ ценообразования</t>
  </si>
  <si>
    <t xml:space="preserve">в соответствии с п. 32 Основ ценообразования. согласно утвержденной ИПР  </t>
  </si>
  <si>
    <t>в соответствии с п. 8 Основ ценообразования и МУ №98-э</t>
  </si>
  <si>
    <t>в соответствии с п.87 Основ ценообразования и МУ №215-э/1 от 11.09.2014  ФСТ России</t>
  </si>
  <si>
    <t>Расчет необходимой валовой выручки на долгосрочный период 2020-2024гг.</t>
  </si>
  <si>
    <t>Уровень потерь  электрической энергии при ее передаче по электрическим сетям</t>
  </si>
  <si>
    <t>Показатель средней продолжительности прекращения передачи электрической энергии на точку поставки</t>
  </si>
  <si>
    <t>час.</t>
  </si>
  <si>
    <t>Показатель средней частоты прекращения  передачи электрической энергии на точку поставки</t>
  </si>
  <si>
    <t>Показатель уровня качества оказываемых услуг</t>
  </si>
  <si>
    <t>Центральный филиал ООО "Газпром энерго"</t>
  </si>
  <si>
    <t>АО "РОЭК" Центральный исполнительный аппарат</t>
  </si>
  <si>
    <t>Прочие</t>
  </si>
  <si>
    <t>План 
Апрель 
2020 год</t>
  </si>
  <si>
    <t>Проверка</t>
  </si>
  <si>
    <t>Плановый полезный отпуск электроэнергии (мощности) из сетей  на 2020 год</t>
  </si>
  <si>
    <t xml:space="preserve">филиал "Рязаньэнерго" ПАО "МРСК Центра и Приволжья"  </t>
  </si>
  <si>
    <t xml:space="preserve">Филиал "Рязаньэнерго" ПАО "МРСК Центра и Приволжья"  </t>
  </si>
  <si>
    <t>Московская дирекция по энергообеспечению Трансэнерго - филиал ОАО "РЖД"</t>
  </si>
  <si>
    <t>ИТОГО:</t>
  </si>
  <si>
    <t>Энергия</t>
  </si>
  <si>
    <t>Изменение</t>
  </si>
  <si>
    <t>Пост.в сеть = Потери + Отпуск из сети</t>
  </si>
  <si>
    <t>Потери = собств. + передача</t>
  </si>
  <si>
    <t>Отпуск из сети = собств. + передача</t>
  </si>
  <si>
    <t>Пост.в сеть: Табл.1=Табл2</t>
  </si>
  <si>
    <t>Отпуск из сети всего: Табл.1=Табл3</t>
  </si>
  <si>
    <t>Отпуск из сети собств потр: Табл.1=Табл3</t>
  </si>
  <si>
    <t>Отпуск из сети сторонним: Табл.1=Табл3</t>
  </si>
  <si>
    <t>Проверка макс.мощн</t>
  </si>
  <si>
    <t>Проверка заявл.мощн</t>
  </si>
  <si>
    <t>ЧЧИ</t>
  </si>
  <si>
    <t>Муниципальное унитарное многоотраслевое предприятие жилищно-коммунального хозяйства Гусь-Железный</t>
  </si>
  <si>
    <t>МУ МПЖКХ Гусь-Железный</t>
  </si>
  <si>
    <t>Касимовский муниципальный район</t>
  </si>
  <si>
    <t>391320, Рязанская область, Касимовский район 
р.п. Гусь-Железный,   ул. Дачная, 9</t>
  </si>
  <si>
    <t>6204000137</t>
  </si>
  <si>
    <t>622401001</t>
  </si>
  <si>
    <t>61608154</t>
  </si>
  <si>
    <t>Куницын Владимир Васильевич</t>
  </si>
  <si>
    <t>(849131)46131</t>
  </si>
  <si>
    <t>kunicun@rambler.ru</t>
  </si>
  <si>
    <t>Куницына Ирина Фёдоровна</t>
  </si>
  <si>
    <t>Евстифеев Григорий Михайлович</t>
  </si>
  <si>
    <t>Овчинникова Тамара Викторовна</t>
  </si>
  <si>
    <t>(849131)46236</t>
  </si>
  <si>
    <t>gewstifeew@yandex.ru</t>
  </si>
  <si>
    <t>40702810253050100111</t>
  </si>
  <si>
    <t>Отделение №8606 Сбербанка России г.Рязань</t>
  </si>
  <si>
    <t>30101810500000000614</t>
  </si>
  <si>
    <t>0046126614</t>
  </si>
  <si>
    <t>СИП 3 1*50</t>
  </si>
  <si>
    <t>м</t>
  </si>
  <si>
    <t>Стойка СВ110</t>
  </si>
  <si>
    <t>Арматура подвесная</t>
  </si>
  <si>
    <t>Заземляющий проводник ЗП6 см. 21.0112-20</t>
  </si>
  <si>
    <t>Изолятор ШС-10д,  ШФ-20-Г</t>
  </si>
  <si>
    <t>Крюк КН-22 для ШФ-10, ШФ-20</t>
  </si>
  <si>
    <t>Колпачки КП-6а (КП-22)</t>
  </si>
  <si>
    <t>Зажим плашечный ПА-1-1</t>
  </si>
  <si>
    <t>Зажим плашечный ПА-2-2 2-х болтовой</t>
  </si>
  <si>
    <t>Зажим плашечный ПА-3-2 2-х болтовой</t>
  </si>
  <si>
    <t>Зажим плашечный ПС-1-1</t>
  </si>
  <si>
    <t>Зажим плашечный ПС-2-1</t>
  </si>
  <si>
    <t>Вязка спиральная ВС 120/150-2</t>
  </si>
  <si>
    <t>Дугозащитное устройство SE20.1</t>
  </si>
  <si>
    <t>Дугозащитное устройство SE20.2</t>
  </si>
  <si>
    <t>АС 50 (цена за метр)</t>
  </si>
  <si>
    <t>АС 70 (цена за метр)</t>
  </si>
  <si>
    <t>Разрядник РВО-10 У1</t>
  </si>
  <si>
    <t>Разрядник РДИП-10 У3</t>
  </si>
  <si>
    <t>Уголок 50х50х4, метр или кг</t>
  </si>
  <si>
    <t>кг</t>
  </si>
  <si>
    <t>Пруток Ф10, метр или кг</t>
  </si>
  <si>
    <t>Гайка М10</t>
  </si>
  <si>
    <t>Труба 1'</t>
  </si>
  <si>
    <t>Разъединитель РЛНДМ-1-10-400 У1 (3-х пол.)</t>
  </si>
  <si>
    <r>
      <t xml:space="preserve">Катанка </t>
    </r>
    <r>
      <rPr>
        <i/>
        <sz val="8"/>
        <rFont val="Times New Roman"/>
        <family val="1"/>
        <charset val="204"/>
      </rPr>
      <t>ф</t>
    </r>
    <r>
      <rPr>
        <sz val="8"/>
        <rFont val="Times New Roman"/>
        <family val="1"/>
        <charset val="204"/>
      </rPr>
      <t>6-8мм</t>
    </r>
  </si>
  <si>
    <t>СИП  2  3*50+1*54,6+2*25</t>
  </si>
  <si>
    <t>СИП  2  3*70+1*54,6+2*25</t>
  </si>
  <si>
    <t>Стойка СВ95</t>
  </si>
  <si>
    <t>Металлическая лента 20х0,7х1000 мм F 20.07</t>
  </si>
  <si>
    <t>рулон</t>
  </si>
  <si>
    <t>Скрепа С20</t>
  </si>
  <si>
    <t>уп.(100шт)</t>
  </si>
  <si>
    <t>Комплект промежуточной подвески ES 1500</t>
  </si>
  <si>
    <t>Анкерный кронштейн СА-2000</t>
  </si>
  <si>
    <t>Натяжной зажим РА1500</t>
  </si>
  <si>
    <t>Зажим ОР-6</t>
  </si>
  <si>
    <t>Провод изолированный ПВС 3х2,5 ГОСТ 7399-80</t>
  </si>
  <si>
    <t>Зажим ZP-2</t>
  </si>
  <si>
    <t>Зажим ПС-1-1 ТУ34-13-10273-88</t>
  </si>
  <si>
    <t>Кабельный ремешок KR-1</t>
  </si>
  <si>
    <t>Зажим KZP-1</t>
  </si>
  <si>
    <t>Зажим KZP-2</t>
  </si>
  <si>
    <t>Зажим для временного заземления ZVZ 481</t>
  </si>
  <si>
    <t>Устройство для закорачивания UZK</t>
  </si>
  <si>
    <t>Устройство заземления UZM</t>
  </si>
  <si>
    <t>Эластомерные колпачки CI 25-150</t>
  </si>
  <si>
    <t>Дистанционный бандаж типа BIC-50.90</t>
  </si>
  <si>
    <t>Зажим анкерный SO 250.01 (50-70)</t>
  </si>
  <si>
    <t>Зажим ответвительный SLIP 22.1 (10-95/10-95)</t>
  </si>
  <si>
    <t>Скоба-скреп. COT 36 (для ленты СОТ 37)</t>
  </si>
  <si>
    <t>Адаптер д/закороток и заземления PMCC</t>
  </si>
  <si>
    <t>Инструмент натяжения и резки стальной ленты OPV (R-MAF)</t>
  </si>
  <si>
    <t>Стяжной хомут CSL 260 мм (D 26-66мм)</t>
  </si>
  <si>
    <t>Фасадное крепление BRPF 70-150-6F (D 25-60мм, L 60мм)</t>
  </si>
  <si>
    <t>Зажим ответвительный P2X-95 (16-95/4-50мм2)</t>
  </si>
  <si>
    <t>Уголок 50х50</t>
  </si>
  <si>
    <t>Ограничитель перенапряжения ОПС1-B 4Р In=30kA  Un=400B Im=60kA</t>
  </si>
  <si>
    <t>Кабель ААшв-10 3х70</t>
  </si>
  <si>
    <t>КНтп-10-25/50 (3-х жил., до 10кV, сеч: 25, 35, 50 мм2) наружной установки</t>
  </si>
  <si>
    <t>КНтп-10-70/120 (3-х жил., до 10кV, сеч: 70, 95, 120 мм2) наружной установки</t>
  </si>
  <si>
    <t>Трубка термоусаживаемая толстостенная с клеем ТТт 45/12к L=1,22м.</t>
  </si>
  <si>
    <t>Трубка термоусаживаемая толстостенная с клеем ТТт 55/16к L=1,22м.</t>
  </si>
  <si>
    <t>Трубка термоусаживаемая толстостенная с клеем ТТт 65/19к L=1,22м.</t>
  </si>
  <si>
    <t>Трубка (кожух) термоусаживаемая толстостенная с клеем ТТт 95/25к L=0,9м.</t>
  </si>
  <si>
    <t>Трубка (кожух) термоусаживаемая толстостенная с клеем ТТт 105/29к L=0,9м.</t>
  </si>
  <si>
    <t>Трубка (кожух) термоусаживаемая толстостенная с клеем ТТт 130/36к L=0,9м.</t>
  </si>
  <si>
    <t>Изолента</t>
  </si>
  <si>
    <t>Припой ПС40</t>
  </si>
  <si>
    <t>пруток</t>
  </si>
  <si>
    <t>Припой для пайки алюминия  П150А, П250А, П300А</t>
  </si>
  <si>
    <t>Кабель ААшв-1 4х70</t>
  </si>
  <si>
    <t>Термоспекаемые ленты КЛ-50;ПТЛ-40;ТЛ-630</t>
  </si>
  <si>
    <t>муфта 1KVRSJ-5/2</t>
  </si>
  <si>
    <t>муфта 1KVRST-5/2</t>
  </si>
  <si>
    <t xml:space="preserve">Термоус. трубка Navigator NST 6/3 71119 </t>
  </si>
  <si>
    <t>Наконечники Ф16</t>
  </si>
  <si>
    <t>Наконечники Ф25</t>
  </si>
  <si>
    <t>Наконечники Ф35</t>
  </si>
  <si>
    <t>Наконечники Ф50</t>
  </si>
  <si>
    <t>Наконечники Ф70</t>
  </si>
  <si>
    <t>Наконечники Ф95</t>
  </si>
  <si>
    <t>Наконечники Ф120</t>
  </si>
  <si>
    <t>Наконечники Ф150</t>
  </si>
  <si>
    <t>Трубка термоусаживаемая среднестенная с клеем ТТс 16/5к L=1,22м.</t>
  </si>
  <si>
    <t>Трубка термоусаживаемая среднестенная с клеем ТТс 28/6к L=1,22м.</t>
  </si>
  <si>
    <t>Трубка термоусаживаемая среднестенная с клеем ТТс 33/8к L=1,22м.</t>
  </si>
  <si>
    <t>Трубка термоусаживаемая среднестенная с клеем ТТс 40/12к L=1,22м</t>
  </si>
  <si>
    <t>Трубка термоусаживаемая среднестенная с клеем ТТс 55/16к L=1,22м.</t>
  </si>
  <si>
    <t>Трубка термоусаживаемая среднестенная с клеем ТТс 65/19к L=1,22м.</t>
  </si>
  <si>
    <t>Трубка термоусаживаемая среднестенная с клеем ТТс 75/22к L=1,22м.</t>
  </si>
  <si>
    <t>Трубка (кожух) термоусаживаемая среднестенная с клеем ТТс 105/29к L=1,25м.</t>
  </si>
  <si>
    <t>Трубка (кожух) термоусаживаемая среднестенная с клеем ТТс 115/34к L=1,25м.</t>
  </si>
  <si>
    <t>Трубка (кожух) термоусаживаемая среднестенная с клеем ТТс 140/42к L=1,25м.</t>
  </si>
  <si>
    <t>Масло трансформаторное</t>
  </si>
  <si>
    <t xml:space="preserve">Трансформатор ТМ160-400кВА 10/0,4кВ </t>
  </si>
  <si>
    <t>Выключатель вакуумный ВВЭ-М-10-20</t>
  </si>
  <si>
    <t>Привод пружинный для ВВЭ-М-10-20</t>
  </si>
  <si>
    <t>Ограничитель ОПН-Ф-10/12</t>
  </si>
  <si>
    <t>Плавкая вставка ПН-2 100А</t>
  </si>
  <si>
    <t>Плавкая вставка ПН-2 250А</t>
  </si>
  <si>
    <t>Плавкая вставка ПН-2 400А</t>
  </si>
  <si>
    <t>Предохранитель ПКТ-10</t>
  </si>
  <si>
    <t>АЕ 2066МП-100 3пол.80/100А (Дагестан)</t>
  </si>
  <si>
    <t>АЕ 2066МП-100 3пол.125А (Дагестан)</t>
  </si>
  <si>
    <t>АЕ 2066МП-100 3пол.160А (Дагестан)</t>
  </si>
  <si>
    <t>АЕ 2066МП-100 3пол.200/250А (Дагестан)</t>
  </si>
  <si>
    <t>ВА 5739 340010 320/400А 3пол. (Дивногорск)</t>
  </si>
  <si>
    <t>ВА 5739 340010 500/630А 3пол. (Дивногорск)</t>
  </si>
  <si>
    <t>Изолятор опорный ИО-1-2,5 У, Т3</t>
  </si>
  <si>
    <t>Изолятор опорный ИО-10-3,75 II У3 (исп.1)</t>
  </si>
  <si>
    <t>Изолятор проходной ИП-10/630-7,5 УХЛ2</t>
  </si>
  <si>
    <t>Изолятор проходной ИПУ-10/630-7,5 УХЛ1</t>
  </si>
  <si>
    <t>Разрядник РВН-0,5</t>
  </si>
  <si>
    <t>Выкл.нагрузки ВНР-10/400</t>
  </si>
  <si>
    <t>ЩО70-1-09АУ3</t>
  </si>
  <si>
    <t>ЩО70-1-07У3</t>
  </si>
  <si>
    <t>Сетка Рабица</t>
  </si>
  <si>
    <t>Цемент</t>
  </si>
  <si>
    <t>меш</t>
  </si>
  <si>
    <t>Кирпич</t>
  </si>
  <si>
    <t>Щебень</t>
  </si>
  <si>
    <t>м³</t>
  </si>
  <si>
    <t>Песок</t>
  </si>
  <si>
    <t>Муфты кабельные термоусаживаемые  соединительные с наконечниками 10КНТпН-3х(70-120)</t>
  </si>
  <si>
    <t>Расчет затрат на проведение ремонтных работ * на 2020г по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</si>
  <si>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</si>
  <si>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</si>
  <si>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</si>
  <si>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</si>
  <si>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</si>
  <si>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</si>
  <si>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</si>
  <si>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</si>
  <si>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</si>
  <si>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</si>
  <si>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</si>
  <si>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</si>
  <si>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</si>
  <si>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</si>
  <si>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Договор №1 от 29.01.2014г</t>
  </si>
  <si>
    <t>5лет</t>
  </si>
  <si>
    <t>Трансформаторная подстанция №1 – 160 кВА, , общей площадью 29,1 кв.м.</t>
  </si>
  <si>
    <t>Рязанская область, Касимовский район, р.п.Елатьма, ул.Володарского</t>
  </si>
  <si>
    <t>0000000018-э</t>
  </si>
  <si>
    <t>неизвестно</t>
  </si>
  <si>
    <t>Администрация Елатомского г.п.</t>
  </si>
  <si>
    <t>Трансформаторная подстанция №2 – 250 кВА, общей площадью 48,7 кв.м.</t>
  </si>
  <si>
    <t>Рязанская область, Касимовский район, р.п.Елатьма, ул.Полевая</t>
  </si>
  <si>
    <t>0000000019-э</t>
  </si>
  <si>
    <t>Трансформаторная подстанция №3 – 160 кВА, общей площадью 32,2 кв.м.</t>
  </si>
  <si>
    <t>Рязанская область, Касимовский район, р.п.Елатьма, ул.Волдарского</t>
  </si>
  <si>
    <t>0000000020-э</t>
  </si>
  <si>
    <t>Трансформаторная подстанция №4 – 400 кВА, общей площадью 34,4 кв.м. Рязанская область, Касимовский район, р.п.Елатьма, пл.Грибкова</t>
  </si>
  <si>
    <t>Рязанская область, Касимовский район, р.п.Елатьма, пл.Грибкова</t>
  </si>
  <si>
    <t>0000000021-э</t>
  </si>
  <si>
    <t>КТП №5 – 400, общей площадью 5,5 кв.м.</t>
  </si>
  <si>
    <t>Рязанская область, Касимовский район, р.п.Елатьма, ул.Шевченко</t>
  </si>
  <si>
    <t>0000000022-э</t>
  </si>
  <si>
    <t>КТП №6 – 400 кВА, общей площадью 3,9 кв.м.</t>
  </si>
  <si>
    <t>Рязанская область, Касимовский район, р.п.Елатьма, ул.Луначарского</t>
  </si>
  <si>
    <t>0000000023-э</t>
  </si>
  <si>
    <t>Трансформаторная подстанция №7 – 160 кВА, общей площадью 3,9 кв.м.</t>
  </si>
  <si>
    <t>Рязанская область, Касимовский район, р.п.Елатьма, ул.Ленина</t>
  </si>
  <si>
    <t>0000000024-э</t>
  </si>
  <si>
    <t>Трансформаторная подстанция №8 – 250 кВА, общей площадью 7 кв.м.ул.Интернациональная</t>
  </si>
  <si>
    <t>Рязанская область, Касимовский район, р.п.Елатьма, ул.Интернациональная</t>
  </si>
  <si>
    <t>0000000025-э</t>
  </si>
  <si>
    <t>Трансформаторная подстанция №9 – 160 кВА, общей площадью 32,1 кв.м.</t>
  </si>
  <si>
    <t>Рязанская область, Касимовский район, р.п.Елатьма, ул.Октябрьская</t>
  </si>
  <si>
    <t>0000000026-э</t>
  </si>
  <si>
    <t>Трансформаторная подстанция №10 – 250 кВА, общей площадью 32,5 кв.м.</t>
  </si>
  <si>
    <t>Рязанская область, Касимовский район, р.п.Елатьма, ул.Свердлова</t>
  </si>
  <si>
    <t>0000000027-э</t>
  </si>
  <si>
    <t>Трансформаторная подстанция №11 – 160 кВА, общей площадью 4,8 кв.м.</t>
  </si>
  <si>
    <t>Рязанская область, Касимовский район, р.п.Елатьма, пл.Ленина</t>
  </si>
  <si>
    <t>0000000028-э</t>
  </si>
  <si>
    <t>Трансформаторная подстанция №12 – 250 кВА, общей площадью 2,6 кв.м.</t>
  </si>
  <si>
    <t>Рязанская область, Касимовский район, р.п.Елатьма, ул. Янина</t>
  </si>
  <si>
    <t>0000000029-э</t>
  </si>
  <si>
    <t>Трансформаторная подстанция №13 – 400 кВА, общей площадью 7,4 кв.м.</t>
  </si>
  <si>
    <t>0000000030-э</t>
  </si>
  <si>
    <t>Трансформаторная подстанция №14 – 400 кВА, общей площадью 4 кв.м.</t>
  </si>
  <si>
    <t>Рязанская область, Касимовский район, р.п.Елатьма, ул.Красноармейская</t>
  </si>
  <si>
    <t>0000000031-э</t>
  </si>
  <si>
    <t>Фундамент под трансформатор №2497 – 160, общей площадью 1,2 кв.м.</t>
  </si>
  <si>
    <t>Рязанская область, Касимовский район, п.Ласинский</t>
  </si>
  <si>
    <t>0000000032-э</t>
  </si>
  <si>
    <t>Трансформаторная подстанция №2495 – 250 кВА, общей площадью 6,3 кв.м.</t>
  </si>
  <si>
    <t>0000000033-э</t>
  </si>
  <si>
    <t>Трансформаторная подстанция №2179 – 315 кВА, общей площадью 6,3 кв.м.</t>
  </si>
  <si>
    <t>Рязанская область, Касимовский район, п.Центрального отделения Маяк, с-з Маяк</t>
  </si>
  <si>
    <t>0000000034-э</t>
  </si>
  <si>
    <t>Трансформаторная подстанция №2497 – 250 кВА, общей площадью 27,5 кв.м.</t>
  </si>
  <si>
    <t>Рязанская область, Касимовский район, с.Любовниково</t>
  </si>
  <si>
    <t>Фундамент под трансформатор №2494 – 250, общей площадью 1,2 кв.м.</t>
  </si>
  <si>
    <t>Здание центрального распределительного пункта 10 кВА, общей площадью 98,6 кв.м.ул.Володарского</t>
  </si>
  <si>
    <t>Рязанская область, Касимовский район, рп.Елатьма, ул.Володарского</t>
  </si>
  <si>
    <t>0000000017-э</t>
  </si>
  <si>
    <t>Высоковольтная линия 10 кВ №7 от ПС «Сабурово», протяженностью 12,5 км</t>
  </si>
  <si>
    <t>Рязанская область, Касимовский район, рп.Елатьма</t>
  </si>
  <si>
    <t>0000000014-э</t>
  </si>
  <si>
    <t>Высоковольтная линия 10 кВ №1, инв. №0000000015-э, протяженностью 8,8 км, расположенная по адресу: Рязанская область, Касимовский район, рп.Елатьма</t>
  </si>
  <si>
    <t>0000000015-э</t>
  </si>
  <si>
    <t>Кабельная линия 10 кВ, протяженностью 0,05 км</t>
  </si>
  <si>
    <t>0000000016-э</t>
  </si>
  <si>
    <t>Высоковольтная линия 0,4 кВ, протяженностью 43,0 км</t>
  </si>
  <si>
    <t>0000000037-э</t>
  </si>
  <si>
    <t xml:space="preserve">Инженерные сети и сооружения электроснабжения, общей протяженностью электрических сетей по проекту 3173 п.м., двух трансформаторных подстанций, первой очереди (27 индивидуальных жилых домов) комплексной малоэтажной застройки </t>
  </si>
  <si>
    <t>ул.Есенина, р.п.Елатьма, Касимовский район, Рязанская область.</t>
  </si>
  <si>
    <t>МТЗ 82УК 05-52РУ</t>
  </si>
  <si>
    <t>ТДТ 75 ДЕРС 2  80-18 РТ</t>
  </si>
  <si>
    <t>Автогрейдер ДЗ- 180 05-51 РУ</t>
  </si>
  <si>
    <t>ЭО2626 Е  80-14</t>
  </si>
  <si>
    <t xml:space="preserve"> УАЗ 390944 942НУ</t>
  </si>
  <si>
    <t>УАЗ 315192 Х 597 ВХ</t>
  </si>
  <si>
    <t>УАЗ 396254  С955 КР</t>
  </si>
  <si>
    <t>УАЗ 315195  В437</t>
  </si>
  <si>
    <t>УАЗ 390945 Н437 РВ</t>
  </si>
  <si>
    <t xml:space="preserve"> МАЗ КС5334357731 У498 НС</t>
  </si>
  <si>
    <t xml:space="preserve"> ЗИЛ 130 В- 952 НН</t>
  </si>
  <si>
    <t>ЗИЛ4516 75-32 РЯС</t>
  </si>
  <si>
    <t>УАЗ 39629 В127 ВХ</t>
  </si>
  <si>
    <t>КАМАЗ 5511 В052 ВХ</t>
  </si>
  <si>
    <t xml:space="preserve"> ГАЗ3309 Т 906 РС</t>
  </si>
  <si>
    <t xml:space="preserve"> АПТ17М Т 539 РТ </t>
  </si>
  <si>
    <t>УАЗ Патриот А 433 СВ</t>
  </si>
  <si>
    <t xml:space="preserve"> УАЗ 3151196 514 СР </t>
  </si>
  <si>
    <t>Налог на прибыль 3% от дохода</t>
  </si>
  <si>
    <t>бочка 206л</t>
  </si>
  <si>
    <t>5.Топливо, ГСМ</t>
  </si>
  <si>
    <t>Испытания электрооборудования</t>
  </si>
  <si>
    <t>Услуги транспортного участка</t>
  </si>
  <si>
    <t>Главный инженер</t>
  </si>
  <si>
    <t>Сторож</t>
  </si>
  <si>
    <t>Ср, разряд</t>
  </si>
  <si>
    <t>Тар. коэф.</t>
  </si>
  <si>
    <t>Тарифная сетка по постановлению Правительства России от 29 апреля 2006 г. N 256</t>
  </si>
  <si>
    <t>Отчисления на социальные нужды помощь к ртпуску</t>
  </si>
  <si>
    <t>ТБО</t>
  </si>
  <si>
    <t>Работы и услуги производственного характера( в т.ч. Услуги сторонних организаций по содер</t>
  </si>
  <si>
    <t>договор  с ПАО РЭСК от 24.01.18№  310883 на Электроснабжение</t>
  </si>
  <si>
    <t>Отчисления на социальные нужды премии ко дню энергетика</t>
  </si>
  <si>
    <t>Бурильнокрановая машина БМ 20 РМ 29-92</t>
  </si>
  <si>
    <t>Договор №2 от 31.12.2018г.</t>
  </si>
  <si>
    <t>6 лет</t>
  </si>
  <si>
    <t>Воздушные линии 0,4кВ</t>
  </si>
  <si>
    <t>Рязанская область, г. Касимов, ул. Северная, 1</t>
  </si>
  <si>
    <t>000000001-э</t>
  </si>
  <si>
    <t>ИП Пронюшкин</t>
  </si>
  <si>
    <t>Кабельная линия 10 кВ</t>
  </si>
  <si>
    <t>000000002-э</t>
  </si>
  <si>
    <t>Кабельная линия 0,4кВ</t>
  </si>
  <si>
    <t>000000003-э</t>
  </si>
  <si>
    <t>Трансформатор 630кВА</t>
  </si>
  <si>
    <t>000000006-э</t>
  </si>
  <si>
    <t>000000007-э</t>
  </si>
  <si>
    <t>000000008-э</t>
  </si>
  <si>
    <t>000000009-э</t>
  </si>
  <si>
    <t>Комллектная трансформ аторная подстанция 2х 1000кВА</t>
  </si>
  <si>
    <t>0000000010-э</t>
  </si>
  <si>
    <t>Трансформатор 1000кВА</t>
  </si>
  <si>
    <t>0000000011-э</t>
  </si>
  <si>
    <t>0000000012-э</t>
  </si>
  <si>
    <t>Подстанция  РП-83</t>
  </si>
  <si>
    <t>000000004-э</t>
  </si>
  <si>
    <t>Подстанция  ТП-30</t>
  </si>
  <si>
    <t>000000005-э</t>
  </si>
  <si>
    <r>
      <t xml:space="preserve">       Прошу Вас в соответствии с законом РФ от 14.04.1995 г. №35-ФЗ «Об электроэнергетике», установить индивидуальные долгосрочные тарифы на услуги по передаче электрической энергии на основе долгосрочных параметров регулирования по сетям </t>
    </r>
    <r>
      <rPr>
        <u/>
        <sz val="14"/>
        <rFont val="Times New Roman"/>
        <family val="1"/>
        <charset val="204"/>
      </rPr>
      <t xml:space="preserve">МУ МПЖКХ Гусь-Железный </t>
    </r>
    <r>
      <rPr>
        <sz val="14"/>
        <rFont val="Times New Roman"/>
        <family val="1"/>
        <charset val="204"/>
      </rPr>
      <t>(</t>
    </r>
    <r>
      <rPr>
        <i/>
        <sz val="14"/>
        <rFont val="Times New Roman"/>
        <family val="1"/>
        <charset val="204"/>
      </rPr>
      <t>указать наименование организации</t>
    </r>
    <r>
      <rPr>
        <sz val="14"/>
        <rFont val="Times New Roman"/>
        <family val="1"/>
        <charset val="204"/>
      </rPr>
      <t>) на 2020-2024 годы (</t>
    </r>
    <r>
      <rPr>
        <i/>
        <sz val="14"/>
        <rFont val="Times New Roman"/>
        <family val="1"/>
        <charset val="204"/>
      </rPr>
      <t xml:space="preserve">указать систему налогообложениия </t>
    </r>
    <r>
      <rPr>
        <sz val="14"/>
        <rFont val="Times New Roman"/>
        <family val="1"/>
        <charset val="204"/>
      </rPr>
      <t>(</t>
    </r>
    <r>
      <rPr>
        <i/>
        <sz val="14"/>
        <rFont val="Times New Roman"/>
        <family val="1"/>
        <charset val="204"/>
      </rPr>
      <t>без НДС</t>
    </r>
    <r>
      <rPr>
        <sz val="14"/>
        <rFont val="Times New Roman"/>
        <family val="1"/>
        <charset val="204"/>
      </rPr>
      <t xml:space="preserve">). </t>
    </r>
  </si>
  <si>
    <t>Начальник МУ МПЖКХ Гусь-Железный</t>
  </si>
  <si>
    <t>В.В. Куницын</t>
  </si>
  <si>
    <t>ЗАЯВЛЕНИЕ.</t>
  </si>
  <si>
    <t>Расчет амортизационных отчислений, относимых на услуги по передаче электроэнергии, по МУ МПЖКХ Гусь-Железный</t>
  </si>
  <si>
    <t>2018 факт РЭК</t>
  </si>
  <si>
    <t>2020 предл.предпр.</t>
  </si>
  <si>
    <t>в расчете на пол.отпуск в сеть</t>
  </si>
  <si>
    <t>в расчете на пол.отпуск в сеть 1 п/г</t>
  </si>
  <si>
    <t xml:space="preserve">12 </t>
  </si>
  <si>
    <t>Факт РЭК</t>
  </si>
  <si>
    <t>в доле на электрику</t>
  </si>
  <si>
    <t>Экономически обоснованные ПР, тыс.руб.</t>
  </si>
  <si>
    <t>OPEX, тыс.руб.</t>
  </si>
  <si>
    <t>Подконтрольные расходы, тыс.руб.</t>
  </si>
  <si>
    <t>2020 предпр.</t>
  </si>
  <si>
    <t>все в зарплате</t>
  </si>
  <si>
    <t>на уровне плана</t>
  </si>
  <si>
    <t>все хозспособом</t>
  </si>
  <si>
    <t>Доля OPEX</t>
  </si>
  <si>
    <t>Фактический ФОТ 2018</t>
  </si>
  <si>
    <t xml:space="preserve">Расходы на ФОТ с учетом OPEX на 2020 </t>
  </si>
  <si>
    <t>уе</t>
  </si>
  <si>
    <t>Производственно-техническая деятельность</t>
  </si>
  <si>
    <t>Присоединение:</t>
  </si>
  <si>
    <t>с масляным выключателем</t>
  </si>
  <si>
    <t>с выключателем нагрузки</t>
  </si>
  <si>
    <t>2,5/1000</t>
  </si>
  <si>
    <t>2/1000</t>
  </si>
  <si>
    <t>2.2.6</t>
  </si>
  <si>
    <t>факт 2018. РЭК</t>
  </si>
  <si>
    <t>медкомиссия+спецодежда</t>
  </si>
  <si>
    <t>ремонт компьютеров</t>
  </si>
  <si>
    <t>заправка картриджа</t>
  </si>
  <si>
    <t>проверка газовых котлов и датчиков</t>
  </si>
  <si>
    <t>облгаз обслуживание газовых сетей</t>
  </si>
  <si>
    <t>автостоянка</t>
  </si>
  <si>
    <t>Уточн.расчет предприятия с документами</t>
  </si>
  <si>
    <t>обслуживание кассовых аппаратов</t>
  </si>
  <si>
    <t xml:space="preserve">доля облагаемая </t>
  </si>
  <si>
    <t xml:space="preserve">в соответствии с прогнозом соц-эк развития </t>
  </si>
  <si>
    <t>в соответствии с п. 23 Основ ценообразования, исходя из прогнозных ставок ФСК</t>
  </si>
  <si>
    <t>в соответствии с п. 22 Основ ценообразования</t>
  </si>
  <si>
    <t xml:space="preserve">в соответствии с МУ №98-э от 17.02.2012г. корректировка по факту </t>
  </si>
  <si>
    <t xml:space="preserve">в соответствии с п.38 Основ ценообразования </t>
  </si>
  <si>
    <t>в соответствии с п.40(1) Основ ценообразования</t>
  </si>
  <si>
    <t>в расчете на пол.отпуск в сеть 2 п/г</t>
  </si>
  <si>
    <t xml:space="preserve"> Ставка за содержание сетей, руб./МВт·мес.</t>
  </si>
  <si>
    <t>Ставка на оплату технологического расхода потерь, руб./МВт·ч</t>
  </si>
  <si>
    <t>Одноставочный тариф, руб./МВт·ч</t>
  </si>
  <si>
    <t>в соответствии с приказом ФАС России № 421-э от 18.03.2015</t>
  </si>
  <si>
    <t>в соответствии с приказом ФАС России № 421-э от 18.03.2015г. и Основами ценообразования №1178 в области регулируемых цен (тарифов) в электроэнергетике</t>
  </si>
  <si>
    <t>Услуги связи</t>
  </si>
  <si>
    <t>Ремонт основных средств</t>
  </si>
  <si>
    <t>Величина заявленной мощности  сторонних потребителей, МВт</t>
  </si>
  <si>
    <t>в соответствии с п.13 МУ №98-э от 17.02.2012г.и приказом ФАС России от 14.11.2019г. №1508/19</t>
  </si>
  <si>
    <t>Отчет о финансовых результатах</t>
  </si>
  <si>
    <t>2019 факт</t>
  </si>
  <si>
    <t>2019 факт РЭК</t>
  </si>
  <si>
    <t>2021 предл.предпр.</t>
  </si>
  <si>
    <t>ФАКТ 2019</t>
  </si>
  <si>
    <t xml:space="preserve">Факт </t>
  </si>
  <si>
    <t xml:space="preserve">Факт РЭК </t>
  </si>
  <si>
    <t>2019 План</t>
  </si>
  <si>
    <t>Утверждено 2019 год</t>
  </si>
  <si>
    <t>Факт   2019 год</t>
  </si>
  <si>
    <t>Факт                     2019 год</t>
  </si>
  <si>
    <t>Корректировка неподконтрольных расходов по результатам 2019 года</t>
  </si>
  <si>
    <t xml:space="preserve">Корректировка НВВ с учетом изменения полезного отпуска и цен на электрическую энергию за 2019 год                       </t>
  </si>
  <si>
    <t>Свод по актам об оказании услуг по передаче электрической энергии (мощности)  филиалу "Рязаньэнерго" ПАО "МРСК Центра и Приволжья"за 2019 год</t>
  </si>
  <si>
    <t>просчитала</t>
  </si>
  <si>
    <t>На 31.12.2019</t>
  </si>
  <si>
    <t xml:space="preserve">План на 2021 год </t>
  </si>
  <si>
    <t>доля на электрику</t>
  </si>
  <si>
    <t>Корректировка НВВ с учетом надежности и качества оказываемых услуг по результатам 2019 года</t>
  </si>
  <si>
    <t>по предл. Предпр.</t>
  </si>
  <si>
    <t>Фактический объем отпуска электрической энергии                                       (тыс. кВт.ч.)</t>
  </si>
  <si>
    <t>Фактический полезный отпуск   электрической энергии                                     (тыс. кВт.ч.)</t>
  </si>
  <si>
    <t>Фактические потери электрической энергии                                               (тыс. кВт.ч.) Пф i-2</t>
  </si>
  <si>
    <t>Уровень потерь электрической энергии Ni-2</t>
  </si>
  <si>
    <t>Цена покупки потерь электрической энергии,  учтенная при установлении тарифа  (руб/тыс.кВт.ч)</t>
  </si>
  <si>
    <t>Средневзвешенная цена покупки потерь (руб/тыс.кВт.ч)</t>
  </si>
  <si>
    <t>ИТОГО корректировка НВВ  с учетом изменения полезного отпуска и цен на электрическую энергию</t>
  </si>
  <si>
    <t>ИТОГО ЭКОНОМИЯ ПОТЕРЬ</t>
  </si>
  <si>
    <t>Потери*</t>
  </si>
  <si>
    <t>Стоимость потерь *</t>
  </si>
  <si>
    <t>кВт.ч.</t>
  </si>
  <si>
    <t>руб/кВт.ч</t>
  </si>
  <si>
    <t>*Заполняется согласно счета-фактур покупки потерь</t>
  </si>
  <si>
    <t>Экономия расходов на оплату потерь электрической энергии</t>
  </si>
  <si>
    <t xml:space="preserve">Расходы по обеспечению коммерческого учета электрической энергии (мощности),
</t>
  </si>
  <si>
    <t>в соответствии с п.34(1) Основ ценообразования и МУ №98-э</t>
  </si>
  <si>
    <t>в соответствии с п.38 Основ ценообразования и МУ №98-э</t>
  </si>
  <si>
    <t xml:space="preserve">доля на электрику </t>
  </si>
  <si>
    <t>План 2021</t>
  </si>
  <si>
    <t>ГУ РЭК</t>
  </si>
  <si>
    <t>Форма 3.1</t>
  </si>
  <si>
    <t>потери</t>
  </si>
  <si>
    <t>проверка1</t>
  </si>
  <si>
    <t>проверка 2</t>
  </si>
</sst>
</file>

<file path=xl/styles.xml><?xml version="1.0" encoding="utf-8"?>
<styleSheet xmlns="http://schemas.openxmlformats.org/spreadsheetml/2006/main">
  <numFmts count="4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0.000"/>
    <numFmt numFmtId="167" formatCode="0.0"/>
    <numFmt numFmtId="168" formatCode="0.0%"/>
    <numFmt numFmtId="169" formatCode="0.0000"/>
    <numFmt numFmtId="170" formatCode="#,##0.0"/>
    <numFmt numFmtId="171" formatCode="#,##0.000"/>
    <numFmt numFmtId="172" formatCode="#,##0.0000"/>
    <numFmt numFmtId="173" formatCode="#,##0.00000"/>
    <numFmt numFmtId="174" formatCode="0.0000000"/>
    <numFmt numFmtId="175" formatCode="_-* #,##0_$_-;\-* #,##0_$_-;_-* &quot;-&quot;_$_-;_-@_-"/>
    <numFmt numFmtId="176" formatCode="_-* #,##0.00_$_-;\-* #,##0.00_$_-;_-* &quot;-&quot;??_$_-;_-@_-"/>
    <numFmt numFmtId="177" formatCode="&quot;$&quot;#,##0_);[Red]\(&quot;$&quot;#,##0\)"/>
    <numFmt numFmtId="178" formatCode="_-* #,##0.00&quot;$&quot;_-;\-* #,##0.00&quot;$&quot;_-;_-* &quot;-&quot;??&quot;$&quot;_-;_-@_-"/>
    <numFmt numFmtId="179" formatCode="#,##0.00000000000"/>
    <numFmt numFmtId="180" formatCode="0.0%_);\(0.0%\)"/>
    <numFmt numFmtId="181" formatCode="#,##0_);[Red]\(#,##0\)"/>
    <numFmt numFmtId="182" formatCode="###\ ##\ ##"/>
    <numFmt numFmtId="183" formatCode="0_);\(0\)"/>
    <numFmt numFmtId="184" formatCode="General_)"/>
    <numFmt numFmtId="185" formatCode="_-* #,##0&quot;đ.&quot;_-;\-* #,##0&quot;đ.&quot;_-;_-* &quot;-&quot;&quot;đ.&quot;_-;_-@_-"/>
    <numFmt numFmtId="186" formatCode="_-* #,##0.00&quot;đ.&quot;_-;\-* #,##0.00&quot;đ.&quot;_-;_-* &quot;-&quot;??&quot;đ.&quot;_-;_-@_-"/>
    <numFmt numFmtId="187" formatCode="_(* #,##0_);_(* \(#,##0\);_(* &quot;-&quot;??_);_(@_)"/>
    <numFmt numFmtId="188" formatCode="\$#,##0\ ;\(\$#,##0\)"/>
    <numFmt numFmtId="189" formatCode="_-* #,##0.00[$€-1]_-;\-* #,##0.00[$€-1]_-;_-* &quot;-&quot;??[$€-1]_-"/>
    <numFmt numFmtId="190" formatCode="_(* #,##0_);_(* \(#,##0\);_(* &quot;-&quot;_);_(@_)"/>
    <numFmt numFmtId="191" formatCode="#,##0_);[Blue]\(#,##0\)"/>
    <numFmt numFmtId="192" formatCode="_-* #,##0_đ_._-;\-* #,##0_đ_._-;_-* &quot;-&quot;_đ_._-;_-@_-"/>
    <numFmt numFmtId="193" formatCode="_-* #,##0.00_đ_._-;\-* #,##0.00_đ_._-;_-* &quot;-&quot;??_đ_._-;_-@_-"/>
    <numFmt numFmtId="194" formatCode="_(* #,##0.000_);_(* \(#,##0.000\);_(* &quot;-&quot;???_);_(@_)"/>
    <numFmt numFmtId="195" formatCode="_-&quot;Ј&quot;* #,##0_-;\-&quot;Ј&quot;* #,##0_-;_-&quot;Ј&quot;* &quot;-&quot;_-;_-@_-"/>
    <numFmt numFmtId="196" formatCode="_-&quot;Ј&quot;* #,##0.00_-;\-&quot;Ј&quot;* #,##0.00_-;_-&quot;Ј&quot;* &quot;-&quot;??_-;_-@_-"/>
    <numFmt numFmtId="197" formatCode="_-* #,##0\ _р_._-;\-* #,##0\ _р_._-;_-* &quot;-&quot;\ _р_._-;_-@_-"/>
    <numFmt numFmtId="198" formatCode="_(* #,##0.00_);_(* \(#,##0.00\);_(* &quot;-&quot;??_);_(@_)"/>
    <numFmt numFmtId="199" formatCode="_-* #,##0_р_._-;\-* #,##0_р_._-;_-* &quot;-&quot;??_р_._-;_-@_-"/>
    <numFmt numFmtId="200" formatCode="#,##0.0000000"/>
    <numFmt numFmtId="201" formatCode="#,##0.00000000"/>
    <numFmt numFmtId="202" formatCode="0.00000"/>
    <numFmt numFmtId="203" formatCode="0.000%"/>
    <numFmt numFmtId="204" formatCode="0.000000000"/>
    <numFmt numFmtId="205" formatCode="#,##0.0000000000000000"/>
  </numFmts>
  <fonts count="17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0"/>
      <name val="Times New Roman Cyr"/>
      <charset val="204"/>
    </font>
    <font>
      <u/>
      <sz val="10"/>
      <name val="Times New Roman"/>
      <family val="1"/>
    </font>
    <font>
      <u/>
      <sz val="10"/>
      <name val="Times New Roman CYR"/>
      <charset val="204"/>
    </font>
    <font>
      <b/>
      <sz val="13"/>
      <name val="Times New Roman"/>
      <family val="1"/>
      <charset val="204"/>
    </font>
    <font>
      <sz val="9"/>
      <name val="Times New Roman Cyr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u/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10"/>
      <name val="Times New Roman CYR"/>
      <charset val="204"/>
    </font>
    <font>
      <sz val="14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14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 Cyr"/>
      <charset val="204"/>
    </font>
    <font>
      <b/>
      <sz val="9"/>
      <name val="Tahoma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0"/>
      <name val="Times New Roman"/>
      <family val="1"/>
    </font>
    <font>
      <i/>
      <sz val="7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sz val="10"/>
      <name val="Helv"/>
    </font>
    <font>
      <sz val="8"/>
      <name val="Arial"/>
      <family val="2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Arial Cyr"/>
      <charset val="204"/>
    </font>
    <font>
      <b/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Helv"/>
      <charset val="204"/>
    </font>
    <font>
      <sz val="8"/>
      <color indexed="12"/>
      <name val="Arial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Palatino"/>
      <family val="1"/>
    </font>
    <font>
      <sz val="10"/>
      <name val="NTHarmonica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u/>
      <sz val="10"/>
      <color indexed="36"/>
      <name val="Arial Cyr"/>
      <charset val="204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2"/>
      <name val="Arial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sz val="11"/>
      <color indexed="8"/>
      <name val="Calibri"/>
      <family val="2"/>
      <charset val="204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  <charset val="204"/>
    </font>
    <font>
      <sz val="10"/>
      <color indexed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color indexed="12"/>
      <name val="Arial Cyr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name val="Times New Roman Cyr"/>
      <charset val="204"/>
    </font>
    <font>
      <sz val="8"/>
      <color rgb="FFFF0000"/>
      <name val="Times New Roman Cyr"/>
      <charset val="204"/>
    </font>
    <font>
      <b/>
      <sz val="10"/>
      <name val="Times New Roman CYR"/>
      <charset val="204"/>
    </font>
    <font>
      <sz val="10"/>
      <name val="Courier New"/>
      <family val="3"/>
      <charset val="204"/>
    </font>
    <font>
      <sz val="14"/>
      <name val="Arial Cyr"/>
      <charset val="204"/>
    </font>
    <font>
      <sz val="18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rgb="FFFF0000"/>
      <name val="Times New Roman Cyr"/>
      <charset val="204"/>
    </font>
    <font>
      <sz val="10"/>
      <color rgb="FFFF0000"/>
      <name val="Times New Roman"/>
      <family val="1"/>
      <charset val="204"/>
    </font>
    <font>
      <sz val="10"/>
      <color theme="0"/>
      <name val="Arial Cyr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</fonts>
  <fills count="9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</fills>
  <borders count="1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/>
      <top/>
      <bottom/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777">
    <xf numFmtId="0" fontId="0" fillId="0" borderId="0"/>
    <xf numFmtId="0" fontId="55" fillId="0" borderId="0"/>
    <xf numFmtId="168" fontId="56" fillId="0" borderId="0">
      <alignment vertical="top"/>
    </xf>
    <xf numFmtId="168" fontId="66" fillId="0" borderId="0">
      <alignment vertical="top"/>
    </xf>
    <xf numFmtId="180" fontId="66" fillId="2" borderId="0">
      <alignment vertical="top"/>
    </xf>
    <xf numFmtId="168" fontId="66" fillId="3" borderId="0">
      <alignment vertical="top"/>
    </xf>
    <xf numFmtId="0" fontId="65" fillId="0" borderId="0"/>
    <xf numFmtId="0" fontId="55" fillId="0" borderId="0"/>
    <xf numFmtId="0" fontId="55" fillId="0" borderId="0"/>
    <xf numFmtId="0" fontId="55" fillId="0" borderId="0"/>
    <xf numFmtId="181" fontId="56" fillId="0" borderId="0">
      <alignment vertical="top"/>
    </xf>
    <xf numFmtId="181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81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5" fillId="0" borderId="0"/>
    <xf numFmtId="0" fontId="55" fillId="0" borderId="0"/>
    <xf numFmtId="181" fontId="56" fillId="0" borderId="0">
      <alignment vertical="top"/>
    </xf>
    <xf numFmtId="181" fontId="56" fillId="0" borderId="0">
      <alignment vertical="top"/>
    </xf>
    <xf numFmtId="0" fontId="55" fillId="0" borderId="0"/>
    <xf numFmtId="0" fontId="65" fillId="0" borderId="0"/>
    <xf numFmtId="4" fontId="6" fillId="0" borderId="0">
      <alignment vertical="center"/>
    </xf>
    <xf numFmtId="181" fontId="56" fillId="0" borderId="0">
      <alignment vertical="top"/>
    </xf>
    <xf numFmtId="0" fontId="55" fillId="0" borderId="0"/>
    <xf numFmtId="181" fontId="56" fillId="0" borderId="0">
      <alignment vertical="top"/>
    </xf>
    <xf numFmtId="0" fontId="65" fillId="0" borderId="0"/>
    <xf numFmtId="4" fontId="6" fillId="0" borderId="0">
      <alignment vertical="center"/>
    </xf>
    <xf numFmtId="0" fontId="65" fillId="0" borderId="0"/>
    <xf numFmtId="181" fontId="56" fillId="0" borderId="0">
      <alignment vertical="top"/>
    </xf>
    <xf numFmtId="181" fontId="56" fillId="0" borderId="0">
      <alignment vertical="top"/>
    </xf>
    <xf numFmtId="0" fontId="55" fillId="0" borderId="0"/>
    <xf numFmtId="181" fontId="56" fillId="0" borderId="0">
      <alignment vertical="top"/>
    </xf>
    <xf numFmtId="0" fontId="55" fillId="0" borderId="0"/>
    <xf numFmtId="0" fontId="65" fillId="0" borderId="0"/>
    <xf numFmtId="0" fontId="65" fillId="0" borderId="0"/>
    <xf numFmtId="0" fontId="65" fillId="0" borderId="0"/>
    <xf numFmtId="181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81" fontId="56" fillId="0" borderId="0">
      <alignment vertical="top"/>
    </xf>
    <xf numFmtId="0" fontId="55" fillId="0" borderId="0"/>
    <xf numFmtId="0" fontId="55" fillId="0" borderId="0"/>
    <xf numFmtId="0" fontId="65" fillId="0" borderId="0"/>
    <xf numFmtId="0" fontId="55" fillId="0" borderId="0"/>
    <xf numFmtId="0" fontId="55" fillId="0" borderId="0"/>
    <xf numFmtId="0" fontId="65" fillId="0" borderId="0"/>
    <xf numFmtId="4" fontId="6" fillId="0" borderId="0">
      <alignment vertical="center"/>
    </xf>
    <xf numFmtId="181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65" fillId="0" borderId="0"/>
    <xf numFmtId="0" fontId="55" fillId="0" borderId="0"/>
    <xf numFmtId="0" fontId="65" fillId="0" borderId="0"/>
    <xf numFmtId="181" fontId="56" fillId="0" borderId="0">
      <alignment vertical="top"/>
    </xf>
    <xf numFmtId="0" fontId="65" fillId="0" borderId="0"/>
    <xf numFmtId="0" fontId="65" fillId="0" borderId="0"/>
    <xf numFmtId="181" fontId="56" fillId="0" borderId="0">
      <alignment vertical="top"/>
    </xf>
    <xf numFmtId="181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81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5" fillId="0" borderId="0"/>
    <xf numFmtId="0" fontId="55" fillId="0" borderId="0"/>
    <xf numFmtId="0" fontId="65" fillId="0" borderId="0"/>
    <xf numFmtId="181" fontId="56" fillId="0" borderId="0">
      <alignment vertical="top"/>
    </xf>
    <xf numFmtId="0" fontId="55" fillId="0" borderId="0"/>
    <xf numFmtId="0" fontId="55" fillId="0" borderId="0"/>
    <xf numFmtId="181" fontId="56" fillId="0" borderId="0">
      <alignment vertical="top"/>
    </xf>
    <xf numFmtId="0" fontId="65" fillId="0" borderId="0"/>
    <xf numFmtId="0" fontId="55" fillId="0" borderId="0"/>
    <xf numFmtId="0" fontId="55" fillId="0" borderId="0"/>
    <xf numFmtId="0" fontId="55" fillId="0" borderId="0"/>
    <xf numFmtId="0" fontId="65" fillId="0" borderId="0"/>
    <xf numFmtId="0" fontId="6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44" fontId="67" fillId="0" borderId="0">
      <protection locked="0"/>
    </xf>
    <xf numFmtId="44" fontId="67" fillId="0" borderId="0">
      <protection locked="0"/>
    </xf>
    <xf numFmtId="44" fontId="67" fillId="0" borderId="0">
      <protection locked="0"/>
    </xf>
    <xf numFmtId="0" fontId="68" fillId="0" borderId="0">
      <protection locked="0"/>
    </xf>
    <xf numFmtId="0" fontId="68" fillId="0" borderId="0">
      <protection locked="0"/>
    </xf>
    <xf numFmtId="0" fontId="67" fillId="0" borderId="1">
      <protection locked="0"/>
    </xf>
    <xf numFmtId="0" fontId="69" fillId="4" borderId="0" applyNumberFormat="0" applyBorder="0" applyAlignment="0" applyProtection="0"/>
    <xf numFmtId="0" fontId="69" fillId="5" borderId="0" applyNumberFormat="0" applyBorder="0" applyAlignment="0" applyProtection="0"/>
    <xf numFmtId="0" fontId="69" fillId="6" borderId="0" applyNumberFormat="0" applyBorder="0" applyAlignment="0" applyProtection="0"/>
    <xf numFmtId="0" fontId="69" fillId="7" borderId="0" applyNumberFormat="0" applyBorder="0" applyAlignment="0" applyProtection="0"/>
    <xf numFmtId="0" fontId="69" fillId="8" borderId="0" applyNumberFormat="0" applyBorder="0" applyAlignment="0" applyProtection="0"/>
    <xf numFmtId="0" fontId="69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69" fillId="15" borderId="0" applyNumberFormat="0" applyBorder="0" applyAlignment="0" applyProtection="0"/>
    <xf numFmtId="0" fontId="69" fillId="5" borderId="0" applyNumberFormat="0" applyBorder="0" applyAlignment="0" applyProtection="0"/>
    <xf numFmtId="0" fontId="6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5" borderId="0" applyNumberFormat="0" applyBorder="0" applyAlignment="0" applyProtection="0"/>
    <xf numFmtId="0" fontId="69" fillId="14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1" fillId="15" borderId="0" applyNumberFormat="0" applyBorder="0" applyAlignment="0" applyProtection="0"/>
    <xf numFmtId="0" fontId="71" fillId="5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5" borderId="0" applyNumberFormat="0" applyBorder="0" applyAlignment="0" applyProtection="0"/>
    <xf numFmtId="0" fontId="71" fillId="14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2" fillId="28" borderId="0" applyNumberFormat="0" applyBorder="0" applyAlignment="0" applyProtection="0"/>
    <xf numFmtId="0" fontId="73" fillId="29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73" fillId="32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2" fillId="33" borderId="0" applyNumberFormat="0" applyBorder="0" applyAlignment="0" applyProtection="0"/>
    <xf numFmtId="0" fontId="73" fillId="32" borderId="0" applyNumberFormat="0" applyBorder="0" applyAlignment="0" applyProtection="0"/>
    <xf numFmtId="0" fontId="74" fillId="34" borderId="0" applyNumberFormat="0" applyBorder="0" applyAlignment="0" applyProtection="0"/>
    <xf numFmtId="0" fontId="74" fillId="35" borderId="0" applyNumberFormat="0" applyBorder="0" applyAlignment="0" applyProtection="0"/>
    <xf numFmtId="0" fontId="73" fillId="36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72" fillId="16" borderId="0" applyNumberFormat="0" applyBorder="0" applyAlignment="0" applyProtection="0"/>
    <xf numFmtId="0" fontId="73" fillId="37" borderId="0" applyNumberFormat="0" applyBorder="0" applyAlignment="0" applyProtection="0"/>
    <xf numFmtId="0" fontId="74" fillId="35" borderId="0" applyNumberFormat="0" applyBorder="0" applyAlignment="0" applyProtection="0"/>
    <xf numFmtId="0" fontId="74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72" fillId="21" borderId="0" applyNumberFormat="0" applyBorder="0" applyAlignment="0" applyProtection="0"/>
    <xf numFmtId="0" fontId="73" fillId="38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2" fillId="22" borderId="0" applyNumberFormat="0" applyBorder="0" applyAlignment="0" applyProtection="0"/>
    <xf numFmtId="0" fontId="73" fillId="39" borderId="0" applyNumberFormat="0" applyBorder="0" applyAlignment="0" applyProtection="0"/>
    <xf numFmtId="0" fontId="74" fillId="40" borderId="0" applyNumberFormat="0" applyBorder="0" applyAlignment="0" applyProtection="0"/>
    <xf numFmtId="0" fontId="74" fillId="31" borderId="0" applyNumberFormat="0" applyBorder="0" applyAlignment="0" applyProtection="0"/>
    <xf numFmtId="0" fontId="73" fillId="41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2" fillId="42" borderId="0" applyNumberFormat="0" applyBorder="0" applyAlignment="0" applyProtection="0"/>
    <xf numFmtId="182" fontId="75" fillId="43" borderId="0">
      <alignment horizontal="center" vertical="center"/>
    </xf>
    <xf numFmtId="183" fontId="76" fillId="0" borderId="2" applyFont="0" applyFill="0">
      <alignment horizontal="right" vertical="center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84" fontId="78" fillId="0" borderId="3">
      <protection locked="0"/>
    </xf>
    <xf numFmtId="185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76" fillId="0" borderId="0" applyFont="0" applyBorder="0" applyProtection="0">
      <alignment vertical="center"/>
    </xf>
    <xf numFmtId="182" fontId="46" fillId="0" borderId="0" applyNumberFormat="0" applyFont="0" applyAlignment="0">
      <alignment horizontal="center" vertical="center"/>
    </xf>
    <xf numFmtId="39" fontId="79" fillId="2" borderId="0" applyNumberFormat="0" applyBorder="0">
      <alignment vertical="center"/>
    </xf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78" fillId="0" borderId="0">
      <alignment horizontal="left"/>
    </xf>
    <xf numFmtId="187" fontId="24" fillId="44" borderId="4">
      <alignment vertical="center"/>
    </xf>
    <xf numFmtId="0" fontId="81" fillId="45" borderId="5" applyNumberFormat="0" applyAlignment="0" applyProtection="0"/>
    <xf numFmtId="187" fontId="24" fillId="46" borderId="4">
      <alignment vertical="center"/>
    </xf>
    <xf numFmtId="37" fontId="82" fillId="47" borderId="4">
      <alignment horizontal="center" vertical="center"/>
    </xf>
    <xf numFmtId="0" fontId="83" fillId="32" borderId="6" applyNumberFormat="0" applyAlignment="0" applyProtection="0"/>
    <xf numFmtId="0" fontId="83" fillId="32" borderId="6" applyNumberFormat="0" applyAlignment="0" applyProtection="0"/>
    <xf numFmtId="175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3" fontId="84" fillId="0" borderId="0" applyFont="0" applyFill="0" applyBorder="0" applyAlignment="0" applyProtection="0"/>
    <xf numFmtId="184" fontId="85" fillId="48" borderId="3"/>
    <xf numFmtId="177" fontId="50" fillId="0" borderId="0" applyFont="0" applyFill="0" applyBorder="0" applyAlignment="0" applyProtection="0"/>
    <xf numFmtId="177" fontId="50" fillId="0" borderId="0" applyFont="0" applyFill="0" applyBorder="0" applyAlignment="0" applyProtection="0"/>
    <xf numFmtId="177" fontId="50" fillId="0" borderId="0" applyFont="0" applyFill="0" applyBorder="0" applyAlignment="0" applyProtection="0"/>
    <xf numFmtId="177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88" fontId="84" fillId="0" borderId="0" applyFont="0" applyFill="0" applyBorder="0" applyAlignment="0" applyProtection="0"/>
    <xf numFmtId="0" fontId="86" fillId="0" borderId="0" applyFill="0" applyBorder="0" applyProtection="0">
      <alignment vertical="center"/>
    </xf>
    <xf numFmtId="0" fontId="84" fillId="0" borderId="0" applyFont="0" applyFill="0" applyBorder="0" applyAlignment="0" applyProtection="0"/>
    <xf numFmtId="14" fontId="87" fillId="0" borderId="0" applyFont="0" applyBorder="0">
      <alignment vertical="top"/>
    </xf>
    <xf numFmtId="14" fontId="4" fillId="0" borderId="0">
      <alignment vertical="top"/>
    </xf>
    <xf numFmtId="164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81" fontId="88" fillId="0" borderId="0">
      <alignment vertical="top"/>
    </xf>
    <xf numFmtId="0" fontId="89" fillId="49" borderId="0" applyNumberFormat="0" applyBorder="0" applyAlignment="0" applyProtection="0"/>
    <xf numFmtId="0" fontId="89" fillId="50" borderId="0" applyNumberFormat="0" applyBorder="0" applyAlignment="0" applyProtection="0"/>
    <xf numFmtId="0" fontId="89" fillId="51" borderId="0" applyNumberFormat="0" applyBorder="0" applyAlignment="0" applyProtection="0"/>
    <xf numFmtId="189" fontId="26" fillId="0" borderId="0" applyFont="0" applyFill="0" applyBorder="0" applyAlignment="0" applyProtection="0"/>
    <xf numFmtId="0" fontId="78" fillId="0" borderId="0"/>
    <xf numFmtId="0" fontId="70" fillId="0" borderId="0"/>
    <xf numFmtId="0" fontId="90" fillId="0" borderId="0" applyNumberFormat="0" applyFill="0" applyBorder="0" applyAlignment="0" applyProtection="0"/>
    <xf numFmtId="2" fontId="84" fillId="0" borderId="0" applyFont="0" applyFill="0" applyBorder="0" applyAlignment="0" applyProtection="0"/>
    <xf numFmtId="0" fontId="91" fillId="0" borderId="0" applyNumberFormat="0" applyFill="0" applyBorder="0" applyAlignment="0" applyProtection="0">
      <alignment vertical="top"/>
      <protection locked="0"/>
    </xf>
    <xf numFmtId="0" fontId="46" fillId="0" borderId="0" applyNumberFormat="0" applyFont="0">
      <alignment wrapText="1"/>
    </xf>
    <xf numFmtId="190" fontId="78" fillId="52" borderId="4" applyBorder="0">
      <alignment horizontal="center" vertical="center"/>
    </xf>
    <xf numFmtId="0" fontId="92" fillId="53" borderId="0" applyNumberFormat="0" applyBorder="0" applyAlignment="0" applyProtection="0"/>
    <xf numFmtId="0" fontId="92" fillId="53" borderId="0" applyNumberFormat="0" applyBorder="0" applyAlignment="0" applyProtection="0"/>
    <xf numFmtId="0" fontId="93" fillId="0" borderId="0">
      <alignment vertical="top"/>
    </xf>
    <xf numFmtId="0" fontId="94" fillId="0" borderId="0" applyNumberFormat="0" applyFill="0" applyBorder="0" applyAlignment="0" applyProtection="0"/>
    <xf numFmtId="0" fontId="94" fillId="0" borderId="0"/>
    <xf numFmtId="0" fontId="95" fillId="0" borderId="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8" applyNumberFormat="0" applyFill="0" applyAlignment="0" applyProtection="0"/>
    <xf numFmtId="0" fontId="98" fillId="0" borderId="9" applyNumberFormat="0" applyFill="0" applyAlignment="0" applyProtection="0"/>
    <xf numFmtId="0" fontId="98" fillId="0" borderId="9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81" fontId="99" fillId="0" borderId="0">
      <alignment vertical="top"/>
    </xf>
    <xf numFmtId="0" fontId="79" fillId="54" borderId="4">
      <alignment horizontal="center" vertical="center" wrapText="1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84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03" fillId="41" borderId="5" applyNumberFormat="0" applyAlignment="0" applyProtection="0"/>
    <xf numFmtId="0" fontId="103" fillId="41" borderId="5" applyNumberFormat="0" applyAlignment="0" applyProtection="0"/>
    <xf numFmtId="181" fontId="66" fillId="0" borderId="0">
      <alignment vertical="top"/>
    </xf>
    <xf numFmtId="181" fontId="66" fillId="2" borderId="0">
      <alignment vertical="top"/>
    </xf>
    <xf numFmtId="191" fontId="66" fillId="3" borderId="0">
      <alignment vertical="top"/>
    </xf>
    <xf numFmtId="187" fontId="46" fillId="55" borderId="4">
      <alignment vertical="center"/>
    </xf>
    <xf numFmtId="182" fontId="104" fillId="56" borderId="10" applyBorder="0" applyAlignment="0">
      <alignment horizontal="left" indent="1"/>
    </xf>
    <xf numFmtId="0" fontId="105" fillId="0" borderId="11" applyNumberFormat="0" applyFill="0" applyAlignment="0" applyProtection="0"/>
    <xf numFmtId="0" fontId="105" fillId="0" borderId="11" applyNumberFormat="0" applyFill="0" applyAlignment="0" applyProtection="0"/>
    <xf numFmtId="0" fontId="106" fillId="41" borderId="0" applyNumberFormat="0" applyBorder="0" applyAlignment="0" applyProtection="0"/>
    <xf numFmtId="0" fontId="106" fillId="41" borderId="0" applyNumberFormat="0" applyBorder="0" applyAlignment="0" applyProtection="0"/>
    <xf numFmtId="0" fontId="21" fillId="2" borderId="4" applyFont="0" applyBorder="0" applyAlignment="0">
      <alignment horizontal="center" vertical="center"/>
    </xf>
    <xf numFmtId="0" fontId="107" fillId="0" borderId="0" applyNumberFormat="0" applyFill="0" applyBorder="0" applyAlignment="0" applyProtection="0"/>
    <xf numFmtId="0" fontId="51" fillId="0" borderId="0"/>
    <xf numFmtId="0" fontId="86" fillId="0" borderId="0" applyFill="0" applyBorder="0" applyProtection="0">
      <alignment vertical="center"/>
    </xf>
    <xf numFmtId="0" fontId="46" fillId="40" borderId="12" applyNumberFormat="0" applyFont="0" applyAlignment="0" applyProtection="0"/>
    <xf numFmtId="0" fontId="54" fillId="6" borderId="12" applyNumberFormat="0" applyFont="0" applyAlignment="0" applyProtection="0"/>
    <xf numFmtId="0" fontId="46" fillId="40" borderId="12" applyNumberFormat="0" applyFont="0" applyAlignment="0" applyProtection="0"/>
    <xf numFmtId="0" fontId="70" fillId="6" borderId="12" applyNumberFormat="0" applyFont="0" applyAlignment="0" applyProtection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08" fillId="45" borderId="13" applyNumberFormat="0" applyAlignment="0" applyProtection="0"/>
    <xf numFmtId="0" fontId="108" fillId="45" borderId="13" applyNumberFormat="0" applyAlignment="0" applyProtection="0"/>
    <xf numFmtId="0" fontId="109" fillId="2" borderId="0">
      <alignment vertical="center"/>
    </xf>
    <xf numFmtId="0" fontId="86" fillId="0" borderId="0" applyFill="0" applyBorder="0" applyProtection="0">
      <alignment vertical="center"/>
    </xf>
    <xf numFmtId="0" fontId="52" fillId="0" borderId="0" applyNumberFormat="0">
      <alignment horizontal="left"/>
    </xf>
    <xf numFmtId="187" fontId="110" fillId="55" borderId="4">
      <alignment horizontal="center" vertical="center" wrapText="1"/>
      <protection locked="0"/>
    </xf>
    <xf numFmtId="0" fontId="46" fillId="0" borderId="0">
      <alignment vertical="center"/>
    </xf>
    <xf numFmtId="4" fontId="69" fillId="57" borderId="13" applyNumberFormat="0" applyProtection="0">
      <alignment vertical="center"/>
    </xf>
    <xf numFmtId="4" fontId="111" fillId="57" borderId="13" applyNumberFormat="0" applyProtection="0">
      <alignment vertical="center"/>
    </xf>
    <xf numFmtId="4" fontId="69" fillId="57" borderId="13" applyNumberFormat="0" applyProtection="0">
      <alignment horizontal="left" vertical="center" indent="1"/>
    </xf>
    <xf numFmtId="4" fontId="69" fillId="57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4" fontId="69" fillId="59" borderId="13" applyNumberFormat="0" applyProtection="0">
      <alignment horizontal="right" vertical="center"/>
    </xf>
    <xf numFmtId="4" fontId="69" fillId="60" borderId="13" applyNumberFormat="0" applyProtection="0">
      <alignment horizontal="right" vertical="center"/>
    </xf>
    <xf numFmtId="4" fontId="69" fillId="47" borderId="13" applyNumberFormat="0" applyProtection="0">
      <alignment horizontal="right" vertical="center"/>
    </xf>
    <xf numFmtId="4" fontId="69" fillId="61" borderId="13" applyNumberFormat="0" applyProtection="0">
      <alignment horizontal="right" vertical="center"/>
    </xf>
    <xf numFmtId="4" fontId="69" fillId="62" borderId="13" applyNumberFormat="0" applyProtection="0">
      <alignment horizontal="right" vertical="center"/>
    </xf>
    <xf numFmtId="4" fontId="69" fillId="63" borderId="13" applyNumberFormat="0" applyProtection="0">
      <alignment horizontal="right" vertical="center"/>
    </xf>
    <xf numFmtId="4" fontId="69" fillId="64" borderId="13" applyNumberFormat="0" applyProtection="0">
      <alignment horizontal="right" vertical="center"/>
    </xf>
    <xf numFmtId="4" fontId="69" fillId="65" borderId="13" applyNumberFormat="0" applyProtection="0">
      <alignment horizontal="right" vertical="center"/>
    </xf>
    <xf numFmtId="4" fontId="69" fillId="52" borderId="13" applyNumberFormat="0" applyProtection="0">
      <alignment horizontal="right" vertical="center"/>
    </xf>
    <xf numFmtId="4" fontId="112" fillId="66" borderId="13" applyNumberFormat="0" applyProtection="0">
      <alignment horizontal="left" vertical="center" indent="1"/>
    </xf>
    <xf numFmtId="4" fontId="69" fillId="67" borderId="14" applyNumberFormat="0" applyProtection="0">
      <alignment horizontal="left" vertical="center" indent="1"/>
    </xf>
    <xf numFmtId="4" fontId="113" fillId="68" borderId="0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4" fontId="114" fillId="67" borderId="13" applyNumberFormat="0" applyProtection="0">
      <alignment horizontal="left" vertical="center" indent="1"/>
    </xf>
    <xf numFmtId="4" fontId="114" fillId="56" borderId="13" applyNumberFormat="0" applyProtection="0">
      <alignment horizontal="left" vertical="center" indent="1"/>
    </xf>
    <xf numFmtId="0" fontId="46" fillId="56" borderId="13" applyNumberFormat="0" applyProtection="0">
      <alignment horizontal="left" vertical="center" indent="1"/>
    </xf>
    <xf numFmtId="0" fontId="46" fillId="56" borderId="13" applyNumberFormat="0" applyProtection="0">
      <alignment horizontal="left" vertical="center" indent="1"/>
    </xf>
    <xf numFmtId="0" fontId="46" fillId="56" borderId="13" applyNumberFormat="0" applyProtection="0">
      <alignment horizontal="left" vertical="center" indent="1"/>
    </xf>
    <xf numFmtId="0" fontId="46" fillId="56" borderId="13" applyNumberFormat="0" applyProtection="0">
      <alignment horizontal="left" vertical="center" indent="1"/>
    </xf>
    <xf numFmtId="0" fontId="46" fillId="56" borderId="13" applyNumberFormat="0" applyProtection="0">
      <alignment horizontal="left" vertical="center" indent="1"/>
    </xf>
    <xf numFmtId="0" fontId="46" fillId="56" borderId="13" applyNumberFormat="0" applyProtection="0">
      <alignment horizontal="left" vertical="center" indent="1"/>
    </xf>
    <xf numFmtId="0" fontId="46" fillId="69" borderId="13" applyNumberFormat="0" applyProtection="0">
      <alignment horizontal="left" vertical="center" indent="1"/>
    </xf>
    <xf numFmtId="0" fontId="46" fillId="69" borderId="13" applyNumberFormat="0" applyProtection="0">
      <alignment horizontal="left" vertical="center" indent="1"/>
    </xf>
    <xf numFmtId="0" fontId="46" fillId="69" borderId="13" applyNumberFormat="0" applyProtection="0">
      <alignment horizontal="left" vertical="center" indent="1"/>
    </xf>
    <xf numFmtId="0" fontId="46" fillId="69" borderId="13" applyNumberFormat="0" applyProtection="0">
      <alignment horizontal="left" vertical="center" indent="1"/>
    </xf>
    <xf numFmtId="0" fontId="46" fillId="69" borderId="13" applyNumberFormat="0" applyProtection="0">
      <alignment horizontal="left" vertical="center" indent="1"/>
    </xf>
    <xf numFmtId="0" fontId="46" fillId="69" borderId="13" applyNumberFormat="0" applyProtection="0">
      <alignment horizontal="left" vertical="center" indent="1"/>
    </xf>
    <xf numFmtId="0" fontId="46" fillId="2" borderId="13" applyNumberFormat="0" applyProtection="0">
      <alignment horizontal="left" vertical="center" indent="1"/>
    </xf>
    <xf numFmtId="0" fontId="46" fillId="2" borderId="13" applyNumberFormat="0" applyProtection="0">
      <alignment horizontal="left" vertical="center" indent="1"/>
    </xf>
    <xf numFmtId="0" fontId="46" fillId="2" borderId="13" applyNumberFormat="0" applyProtection="0">
      <alignment horizontal="left" vertical="center" indent="1"/>
    </xf>
    <xf numFmtId="0" fontId="46" fillId="2" borderId="13" applyNumberFormat="0" applyProtection="0">
      <alignment horizontal="left" vertical="center" indent="1"/>
    </xf>
    <xf numFmtId="0" fontId="46" fillId="2" borderId="13" applyNumberFormat="0" applyProtection="0">
      <alignment horizontal="left" vertical="center" indent="1"/>
    </xf>
    <xf numFmtId="0" fontId="46" fillId="2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3" fillId="0" borderId="0"/>
    <xf numFmtId="0" fontId="3" fillId="0" borderId="0"/>
    <xf numFmtId="4" fontId="69" fillId="70" borderId="13" applyNumberFormat="0" applyProtection="0">
      <alignment vertical="center"/>
    </xf>
    <xf numFmtId="4" fontId="111" fillId="70" borderId="13" applyNumberFormat="0" applyProtection="0">
      <alignment vertical="center"/>
    </xf>
    <xf numFmtId="4" fontId="69" fillId="70" borderId="13" applyNumberFormat="0" applyProtection="0">
      <alignment horizontal="left" vertical="center" indent="1"/>
    </xf>
    <xf numFmtId="4" fontId="69" fillId="70" borderId="13" applyNumberFormat="0" applyProtection="0">
      <alignment horizontal="left" vertical="center" indent="1"/>
    </xf>
    <xf numFmtId="4" fontId="69" fillId="67" borderId="13" applyNumberFormat="0" applyProtection="0">
      <alignment horizontal="right" vertical="center"/>
    </xf>
    <xf numFmtId="4" fontId="111" fillId="67" borderId="13" applyNumberFormat="0" applyProtection="0">
      <alignment horizontal="right" vertical="center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46" fillId="58" borderId="13" applyNumberFormat="0" applyProtection="0">
      <alignment horizontal="left" vertical="center" indent="1"/>
    </xf>
    <xf numFmtId="0" fontId="115" fillId="0" borderId="0"/>
    <xf numFmtId="4" fontId="116" fillId="67" borderId="13" applyNumberFormat="0" applyProtection="0">
      <alignment horizontal="right" vertical="center"/>
    </xf>
    <xf numFmtId="0" fontId="117" fillId="71" borderId="0"/>
    <xf numFmtId="49" fontId="118" fillId="71" borderId="0"/>
    <xf numFmtId="49" fontId="119" fillId="71" borderId="15"/>
    <xf numFmtId="49" fontId="119" fillId="71" borderId="0"/>
    <xf numFmtId="0" fontId="117" fillId="72" borderId="15">
      <protection locked="0"/>
    </xf>
    <xf numFmtId="0" fontId="117" fillId="71" borderId="0"/>
    <xf numFmtId="0" fontId="119" fillId="73" borderId="0"/>
    <xf numFmtId="0" fontId="119" fillId="52" borderId="0"/>
    <xf numFmtId="0" fontId="119" fillId="61" borderId="0"/>
    <xf numFmtId="0" fontId="120" fillId="0" borderId="0" applyNumberFormat="0" applyFill="0" applyBorder="0" applyAlignment="0" applyProtection="0"/>
    <xf numFmtId="194" fontId="46" fillId="43" borderId="4">
      <alignment vertical="center"/>
    </xf>
    <xf numFmtId="0" fontId="46" fillId="74" borderId="0"/>
    <xf numFmtId="187" fontId="46" fillId="72" borderId="16" applyNumberFormat="0" applyFont="0" applyAlignment="0">
      <alignment horizontal="left"/>
    </xf>
    <xf numFmtId="181" fontId="121" fillId="75" borderId="0">
      <alignment horizontal="right" vertical="top"/>
    </xf>
    <xf numFmtId="0" fontId="120" fillId="0" borderId="0" applyNumberFormat="0" applyFill="0" applyBorder="0" applyAlignment="0" applyProtection="0"/>
    <xf numFmtId="0" fontId="84" fillId="0" borderId="17" applyNumberFormat="0" applyFont="0" applyFill="0" applyAlignment="0" applyProtection="0"/>
    <xf numFmtId="0" fontId="122" fillId="0" borderId="18" applyNumberFormat="0" applyFill="0" applyAlignment="0" applyProtection="0"/>
    <xf numFmtId="0" fontId="84" fillId="0" borderId="17" applyNumberFormat="0" applyFont="0" applyFill="0" applyAlignment="0" applyProtection="0"/>
    <xf numFmtId="187" fontId="123" fillId="47" borderId="19">
      <alignment horizontal="center" vertical="center"/>
    </xf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76" borderId="20">
      <alignment vertical="center"/>
      <protection locked="0"/>
    </xf>
    <xf numFmtId="195" fontId="46" fillId="0" borderId="0" applyFont="0" applyFill="0" applyBorder="0" applyAlignment="0" applyProtection="0"/>
    <xf numFmtId="196" fontId="46" fillId="0" borderId="0" applyFont="0" applyFill="0" applyBorder="0" applyAlignment="0" applyProtection="0"/>
    <xf numFmtId="187" fontId="46" fillId="77" borderId="4" applyNumberFormat="0" applyFill="0" applyBorder="0" applyProtection="0">
      <alignment vertical="center"/>
      <protection locked="0"/>
    </xf>
    <xf numFmtId="0" fontId="155" fillId="84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33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184" fontId="78" fillId="0" borderId="3">
      <protection locked="0"/>
    </xf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0" fontId="126" fillId="14" borderId="5" applyNumberFormat="0" applyAlignment="0" applyProtection="0"/>
    <xf numFmtId="3" fontId="127" fillId="0" borderId="10" applyFill="0" applyBorder="0">
      <alignment vertical="center"/>
    </xf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8" fillId="17" borderId="13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29" fillId="17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156" fillId="0" borderId="83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95" fillId="0" borderId="7" applyNumberFormat="0" applyFill="0" applyAlignment="0" applyProtection="0"/>
    <xf numFmtId="0" fontId="157" fillId="0" borderId="84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97" fillId="0" borderId="8" applyNumberFormat="0" applyFill="0" applyAlignment="0" applyProtection="0"/>
    <xf numFmtId="0" fontId="158" fillId="0" borderId="85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4" fillId="0" borderId="22" applyBorder="0">
      <alignment horizontal="center" vertical="center" wrapText="1"/>
    </xf>
    <xf numFmtId="0" fontId="44" fillId="0" borderId="0">
      <alignment horizontal="center" vertical="center" wrapText="1"/>
    </xf>
    <xf numFmtId="184" fontId="85" fillId="48" borderId="3"/>
    <xf numFmtId="4" fontId="54" fillId="57" borderId="4" applyBorder="0">
      <alignment horizontal="right"/>
    </xf>
    <xf numFmtId="4" fontId="54" fillId="57" borderId="4" applyBorder="0">
      <alignment horizontal="right"/>
    </xf>
    <xf numFmtId="4" fontId="54" fillId="57" borderId="4" applyBorder="0">
      <alignment horizontal="right"/>
    </xf>
    <xf numFmtId="49" fontId="132" fillId="0" borderId="0" applyBorder="0">
      <alignment vertical="center"/>
    </xf>
    <xf numFmtId="0" fontId="133" fillId="0" borderId="0">
      <alignment horizontal="left"/>
    </xf>
    <xf numFmtId="0" fontId="134" fillId="2" borderId="0"/>
    <xf numFmtId="0" fontId="159" fillId="0" borderId="86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0" fontId="122" fillId="0" borderId="18" applyNumberFormat="0" applyFill="0" applyAlignment="0" applyProtection="0"/>
    <xf numFmtId="3" fontId="85" fillId="0" borderId="4" applyBorder="0">
      <alignment vertical="center"/>
    </xf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5" fillId="78" borderId="6" applyNumberFormat="0" applyAlignment="0" applyProtection="0"/>
    <xf numFmtId="0" fontId="136" fillId="0" borderId="0">
      <alignment horizontal="center" vertical="top" wrapText="1"/>
    </xf>
    <xf numFmtId="0" fontId="137" fillId="0" borderId="0">
      <alignment horizontal="centerContinuous" vertical="center" wrapText="1"/>
    </xf>
    <xf numFmtId="0" fontId="137" fillId="0" borderId="0">
      <alignment horizontal="centerContinuous" vertical="center" wrapText="1"/>
    </xf>
    <xf numFmtId="0" fontId="137" fillId="0" borderId="0">
      <alignment horizontal="centerContinuous" vertical="center" wrapText="1"/>
    </xf>
    <xf numFmtId="0" fontId="107" fillId="3" borderId="0" applyFill="0">
      <alignment wrapText="1"/>
    </xf>
    <xf numFmtId="0" fontId="107" fillId="3" borderId="0" applyFill="0">
      <alignment wrapText="1"/>
    </xf>
    <xf numFmtId="0" fontId="107" fillId="3" borderId="0" applyFill="0">
      <alignment wrapText="1"/>
    </xf>
    <xf numFmtId="0" fontId="107" fillId="3" borderId="0" applyFill="0">
      <alignment wrapText="1"/>
    </xf>
    <xf numFmtId="0" fontId="107" fillId="3" borderId="0" applyFill="0">
      <alignment wrapText="1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0" fontId="139" fillId="79" borderId="0" applyNumberFormat="0" applyBorder="0" applyAlignment="0" applyProtection="0"/>
    <xf numFmtId="49" fontId="54" fillId="0" borderId="0" applyBorder="0">
      <alignment vertical="top"/>
    </xf>
    <xf numFmtId="0" fontId="3" fillId="0" borderId="0"/>
    <xf numFmtId="0" fontId="3" fillId="0" borderId="0"/>
    <xf numFmtId="0" fontId="46" fillId="0" borderId="0"/>
    <xf numFmtId="0" fontId="70" fillId="0" borderId="0"/>
    <xf numFmtId="0" fontId="154" fillId="0" borderId="0"/>
    <xf numFmtId="0" fontId="28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49" fontId="54" fillId="0" borderId="0" applyBorder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4" fontId="56" fillId="0" borderId="0">
      <alignment vertical="top"/>
    </xf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9" fontId="54" fillId="0" borderId="0" applyBorder="0">
      <alignment vertical="top"/>
    </xf>
    <xf numFmtId="0" fontId="4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0" borderId="0"/>
    <xf numFmtId="0" fontId="70" fillId="0" borderId="0"/>
    <xf numFmtId="0" fontId="46" fillId="0" borderId="0"/>
    <xf numFmtId="0" fontId="3" fillId="0" borderId="0"/>
    <xf numFmtId="0" fontId="70" fillId="0" borderId="0"/>
    <xf numFmtId="0" fontId="46" fillId="0" borderId="0"/>
    <xf numFmtId="0" fontId="46" fillId="0" borderId="0"/>
    <xf numFmtId="0" fontId="46" fillId="0" borderId="0"/>
    <xf numFmtId="49" fontId="54" fillId="0" borderId="0" applyBorder="0">
      <alignment vertical="top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0" fillId="0" borderId="0"/>
    <xf numFmtId="0" fontId="154" fillId="0" borderId="0"/>
    <xf numFmtId="0" fontId="70" fillId="0" borderId="0"/>
    <xf numFmtId="0" fontId="46" fillId="0" borderId="0"/>
    <xf numFmtId="0" fontId="46" fillId="0" borderId="0"/>
    <xf numFmtId="178" fontId="56" fillId="0" borderId="0">
      <alignment vertical="top"/>
    </xf>
    <xf numFmtId="49" fontId="54" fillId="0" borderId="0" applyBorder="0">
      <alignment vertical="top"/>
    </xf>
    <xf numFmtId="0" fontId="70" fillId="0" borderId="0"/>
    <xf numFmtId="0" fontId="46" fillId="0" borderId="0"/>
    <xf numFmtId="0" fontId="70" fillId="0" borderId="0"/>
    <xf numFmtId="0" fontId="46" fillId="0" borderId="0"/>
    <xf numFmtId="49" fontId="54" fillId="0" borderId="0" applyBorder="0">
      <alignment vertical="top"/>
    </xf>
    <xf numFmtId="0" fontId="46" fillId="0" borderId="0"/>
    <xf numFmtId="0" fontId="70" fillId="0" borderId="0"/>
    <xf numFmtId="0" fontId="46" fillId="0" borderId="0"/>
    <xf numFmtId="49" fontId="54" fillId="0" borderId="0" applyBorder="0">
      <alignment vertical="top"/>
    </xf>
    <xf numFmtId="0" fontId="28" fillId="0" borderId="0"/>
    <xf numFmtId="0" fontId="16" fillId="0" borderId="0"/>
    <xf numFmtId="0" fontId="3" fillId="0" borderId="0"/>
    <xf numFmtId="0" fontId="46" fillId="0" borderId="0"/>
    <xf numFmtId="0" fontId="16" fillId="0" borderId="0"/>
    <xf numFmtId="0" fontId="16" fillId="0" borderId="0"/>
    <xf numFmtId="0" fontId="3" fillId="0" borderId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140" fillId="9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167" fontId="141" fillId="57" borderId="23" applyNumberFormat="0" applyBorder="0" applyAlignment="0">
      <alignment vertical="center"/>
      <protection locked="0"/>
    </xf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70" fillId="6" borderId="12" applyNumberFormat="0" applyFont="0" applyAlignment="0" applyProtection="0"/>
    <xf numFmtId="0" fontId="70" fillId="6" borderId="12" applyNumberFormat="0" applyFont="0" applyAlignment="0" applyProtection="0"/>
    <xf numFmtId="0" fontId="1" fillId="85" borderId="87" applyNumberFormat="0" applyFont="0" applyAlignment="0" applyProtection="0"/>
    <xf numFmtId="0" fontId="70" fillId="6" borderId="12" applyNumberFormat="0" applyFont="0" applyAlignment="0" applyProtection="0"/>
    <xf numFmtId="0" fontId="3" fillId="6" borderId="12" applyNumberFormat="0" applyFont="0" applyAlignment="0" applyProtection="0"/>
    <xf numFmtId="0" fontId="3" fillId="6" borderId="12" applyNumberFormat="0" applyFont="0" applyAlignment="0" applyProtection="0"/>
    <xf numFmtId="0" fontId="3" fillId="6" borderId="12" applyNumberFormat="0" applyFont="0" applyAlignment="0" applyProtection="0"/>
    <xf numFmtId="0" fontId="46" fillId="6" borderId="12" applyNumberFormat="0" applyFont="0" applyAlignment="0" applyProtection="0"/>
    <xf numFmtId="0" fontId="70" fillId="6" borderId="12" applyNumberFormat="0" applyFont="0" applyAlignment="0" applyProtection="0"/>
    <xf numFmtId="0" fontId="3" fillId="6" borderId="12" applyNumberFormat="0" applyFont="0" applyAlignment="0" applyProtection="0"/>
    <xf numFmtId="0" fontId="70" fillId="6" borderId="12" applyNumberFormat="0" applyFont="0" applyAlignment="0" applyProtection="0"/>
    <xf numFmtId="0" fontId="70" fillId="6" borderId="12" applyNumberFormat="0" applyFont="0" applyAlignment="0" applyProtection="0"/>
    <xf numFmtId="0" fontId="70" fillId="6" borderId="12" applyNumberFormat="0" applyFont="0" applyAlignment="0" applyProtection="0"/>
    <xf numFmtId="0" fontId="70" fillId="6" borderId="12" applyNumberFormat="0" applyFont="0" applyAlignment="0" applyProtection="0"/>
    <xf numFmtId="0" fontId="70" fillId="6" borderId="12" applyNumberFormat="0" applyFont="0" applyAlignment="0" applyProtection="0"/>
    <xf numFmtId="0" fontId="70" fillId="6" borderId="12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7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70" fillId="0" borderId="0" applyFont="0" applyFill="0" applyBorder="0" applyAlignment="0" applyProtection="0"/>
    <xf numFmtId="177" fontId="4" fillId="0" borderId="0" applyFont="0" applyFill="0" applyBorder="0" applyProtection="0">
      <alignment vertical="top"/>
    </xf>
    <xf numFmtId="9" fontId="46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143" fillId="0" borderId="24" applyNumberFormat="0" applyFill="0" applyAlignment="0" applyProtection="0"/>
    <xf numFmtId="0" fontId="55" fillId="0" borderId="0"/>
    <xf numFmtId="176" fontId="56" fillId="0" borderId="0">
      <alignment vertical="top"/>
    </xf>
    <xf numFmtId="181" fontId="56" fillId="0" borderId="0">
      <alignment vertical="top"/>
    </xf>
    <xf numFmtId="10" fontId="54" fillId="3" borderId="4">
      <alignment horizontal="right"/>
    </xf>
    <xf numFmtId="3" fontId="144" fillId="0" borderId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49" fontId="107" fillId="0" borderId="0">
      <alignment horizontal="center"/>
    </xf>
    <xf numFmtId="49" fontId="107" fillId="0" borderId="0">
      <alignment horizontal="center"/>
    </xf>
    <xf numFmtId="197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198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19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98" fontId="46" fillId="0" borderId="0" applyFont="0" applyFill="0" applyBorder="0" applyAlignment="0" applyProtection="0"/>
    <xf numFmtId="198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198" fontId="46" fillId="0" borderId="0" applyFont="0" applyFill="0" applyBorder="0" applyAlignment="0" applyProtection="0"/>
    <xf numFmtId="198" fontId="46" fillId="0" borderId="0" applyFont="0" applyFill="0" applyBorder="0" applyAlignment="0" applyProtection="0"/>
    <xf numFmtId="198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198" fontId="46" fillId="0" borderId="0" applyFont="0" applyFill="0" applyBorder="0" applyAlignment="0" applyProtection="0"/>
    <xf numFmtId="198" fontId="46" fillId="0" borderId="0" applyFont="0" applyFill="0" applyBorder="0" applyAlignment="0" applyProtection="0"/>
    <xf numFmtId="198" fontId="46" fillId="0" borderId="0" applyFont="0" applyFill="0" applyBorder="0" applyAlignment="0" applyProtection="0"/>
    <xf numFmtId="198" fontId="46" fillId="0" borderId="0" applyFont="0" applyFill="0" applyBorder="0" applyAlignment="0" applyProtection="0"/>
    <xf numFmtId="198" fontId="46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54" fillId="3" borderId="0" applyFont="0" applyBorder="0">
      <alignment horizontal="right"/>
    </xf>
    <xf numFmtId="4" fontId="54" fillId="3" borderId="0" applyBorder="0">
      <alignment horizontal="right"/>
    </xf>
    <xf numFmtId="4" fontId="54" fillId="3" borderId="0" applyBorder="0">
      <alignment horizontal="right"/>
    </xf>
    <xf numFmtId="4" fontId="54" fillId="3" borderId="0" applyFont="0" applyBorder="0">
      <alignment horizontal="right"/>
    </xf>
    <xf numFmtId="3" fontId="147" fillId="0" borderId="4" applyBorder="0">
      <alignment vertical="center"/>
    </xf>
    <xf numFmtId="4" fontId="54" fillId="3" borderId="0" applyFont="0" applyBorder="0">
      <alignment horizontal="right"/>
    </xf>
    <xf numFmtId="4" fontId="54" fillId="3" borderId="25" applyBorder="0">
      <alignment horizontal="right"/>
    </xf>
    <xf numFmtId="4" fontId="54" fillId="80" borderId="25" applyBorder="0">
      <alignment horizontal="right"/>
    </xf>
    <xf numFmtId="4" fontId="54" fillId="3" borderId="25" applyBorder="0">
      <alignment horizontal="right"/>
    </xf>
    <xf numFmtId="4" fontId="54" fillId="3" borderId="4" applyFont="0" applyBorder="0">
      <alignment horizontal="right"/>
    </xf>
    <xf numFmtId="4" fontId="54" fillId="3" borderId="4" applyFont="0" applyBorder="0">
      <alignment horizontal="right"/>
    </xf>
    <xf numFmtId="4" fontId="54" fillId="3" borderId="4" applyFont="0" applyBorder="0">
      <alignment horizontal="right"/>
    </xf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0" fontId="148" fillId="11" borderId="0" applyNumberFormat="0" applyBorder="0" applyAlignment="0" applyProtection="0"/>
    <xf numFmtId="170" fontId="3" fillId="0" borderId="4" applyFont="0" applyFill="0" applyBorder="0" applyProtection="0">
      <alignment horizontal="center" vertical="center"/>
    </xf>
    <xf numFmtId="170" fontId="3" fillId="0" borderId="4" applyFont="0" applyFill="0" applyBorder="0" applyProtection="0">
      <alignment horizontal="center" vertical="center"/>
    </xf>
    <xf numFmtId="3" fontId="78" fillId="0" borderId="4" applyBorder="0">
      <alignment vertical="center"/>
    </xf>
    <xf numFmtId="44" fontId="67" fillId="0" borderId="0">
      <protection locked="0"/>
    </xf>
    <xf numFmtId="0" fontId="78" fillId="0" borderId="4" applyBorder="0">
      <alignment horizontal="center" vertical="center" wrapText="1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</cellStyleXfs>
  <cellXfs count="170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0" fontId="7" fillId="0" borderId="0" xfId="0" applyFont="1" applyAlignment="1"/>
    <xf numFmtId="49" fontId="10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/>
    <xf numFmtId="0" fontId="9" fillId="0" borderId="0" xfId="0" applyFont="1" applyFill="1" applyAlignment="1"/>
    <xf numFmtId="0" fontId="7" fillId="0" borderId="19" xfId="0" applyFont="1" applyBorder="1" applyAlignment="1">
      <alignment horizontal="center" vertical="center" wrapText="1"/>
    </xf>
    <xf numFmtId="49" fontId="7" fillId="0" borderId="0" xfId="0" applyNumberFormat="1" applyFont="1"/>
    <xf numFmtId="0" fontId="9" fillId="0" borderId="0" xfId="2622" applyFont="1" applyAlignment="1">
      <alignment horizontal="right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0" xfId="0" applyFont="1"/>
    <xf numFmtId="0" fontId="7" fillId="0" borderId="4" xfId="0" applyFont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16" fillId="0" borderId="0" xfId="2620"/>
    <xf numFmtId="0" fontId="16" fillId="0" borderId="0" xfId="2620" applyAlignment="1">
      <alignment horizontal="left"/>
    </xf>
    <xf numFmtId="0" fontId="6" fillId="0" borderId="0" xfId="2622" applyFont="1" applyAlignment="1">
      <alignment horizontal="right"/>
    </xf>
    <xf numFmtId="0" fontId="16" fillId="0" borderId="0" xfId="2620" applyAlignment="1">
      <alignment horizontal="center" vertical="center" wrapText="1"/>
    </xf>
    <xf numFmtId="0" fontId="16" fillId="0" borderId="27" xfId="2620" applyBorder="1" applyAlignment="1">
      <alignment horizontal="center" vertical="center" wrapText="1"/>
    </xf>
    <xf numFmtId="0" fontId="16" fillId="0" borderId="4" xfId="2620" applyBorder="1" applyAlignment="1">
      <alignment horizontal="center" vertical="center" wrapText="1"/>
    </xf>
    <xf numFmtId="0" fontId="16" fillId="0" borderId="26" xfId="2620" applyBorder="1" applyAlignment="1">
      <alignment horizontal="center" vertical="center" wrapText="1"/>
    </xf>
    <xf numFmtId="0" fontId="5" fillId="0" borderId="4" xfId="2620" applyFont="1" applyBorder="1" applyAlignment="1">
      <alignment horizontal="center" vertical="center" wrapText="1"/>
    </xf>
    <xf numFmtId="0" fontId="16" fillId="0" borderId="4" xfId="2620" applyBorder="1" applyAlignment="1">
      <alignment horizontal="center" vertical="center"/>
    </xf>
    <xf numFmtId="0" fontId="16" fillId="0" borderId="4" xfId="2620" applyBorder="1" applyAlignment="1">
      <alignment horizontal="left" vertical="center" indent="1"/>
    </xf>
    <xf numFmtId="0" fontId="16" fillId="0" borderId="4" xfId="2620" applyBorder="1" applyAlignment="1">
      <alignment horizontal="center"/>
    </xf>
    <xf numFmtId="0" fontId="16" fillId="0" borderId="28" xfId="2620" applyBorder="1" applyAlignment="1">
      <alignment horizontal="left" vertical="center" indent="7"/>
    </xf>
    <xf numFmtId="0" fontId="16" fillId="0" borderId="29" xfId="2620" applyBorder="1" applyAlignment="1">
      <alignment horizontal="left" vertical="center" indent="7"/>
    </xf>
    <xf numFmtId="17" fontId="16" fillId="0" borderId="4" xfId="2620" applyNumberFormat="1" applyBorder="1" applyAlignment="1">
      <alignment horizontal="left" vertical="center" wrapText="1" indent="1"/>
    </xf>
    <xf numFmtId="0" fontId="16" fillId="0" borderId="4" xfId="2620" applyBorder="1" applyAlignment="1">
      <alignment horizontal="center" wrapText="1"/>
    </xf>
    <xf numFmtId="0" fontId="16" fillId="0" borderId="27" xfId="2620" applyBorder="1" applyAlignment="1">
      <alignment horizontal="left" vertical="center" indent="1"/>
    </xf>
    <xf numFmtId="0" fontId="5" fillId="0" borderId="27" xfId="2620" applyFont="1" applyBorder="1" applyAlignment="1">
      <alignment horizontal="center" vertical="center" wrapText="1"/>
    </xf>
    <xf numFmtId="0" fontId="16" fillId="0" borderId="27" xfId="2620" applyBorder="1" applyAlignment="1">
      <alignment horizontal="center"/>
    </xf>
    <xf numFmtId="0" fontId="16" fillId="0" borderId="0" xfId="2620" applyBorder="1" applyAlignment="1">
      <alignment horizontal="center"/>
    </xf>
    <xf numFmtId="0" fontId="16" fillId="0" borderId="0" xfId="2620" applyBorder="1" applyAlignment="1">
      <alignment horizontal="center" vertical="center" wrapText="1"/>
    </xf>
    <xf numFmtId="17" fontId="16" fillId="0" borderId="0" xfId="2620" applyNumberFormat="1" applyBorder="1" applyAlignment="1">
      <alignment horizontal="center" vertical="center" wrapText="1"/>
    </xf>
    <xf numFmtId="0" fontId="16" fillId="0" borderId="26" xfId="2620" applyBorder="1" applyAlignment="1">
      <alignment horizontal="center" vertical="center"/>
    </xf>
    <xf numFmtId="167" fontId="16" fillId="0" borderId="4" xfId="2620" applyNumberFormat="1" applyBorder="1" applyAlignment="1">
      <alignment horizontal="center" vertical="center"/>
    </xf>
    <xf numFmtId="17" fontId="16" fillId="0" borderId="4" xfId="2620" applyNumberFormat="1" applyBorder="1" applyAlignment="1">
      <alignment horizontal="center" vertical="center"/>
    </xf>
    <xf numFmtId="0" fontId="16" fillId="0" borderId="28" xfId="2620" applyFont="1" applyBorder="1" applyAlignment="1">
      <alignment vertical="center"/>
    </xf>
    <xf numFmtId="0" fontId="16" fillId="0" borderId="0" xfId="2620" applyFont="1"/>
    <xf numFmtId="0" fontId="16" fillId="0" borderId="30" xfId="2620" applyBorder="1" applyAlignment="1">
      <alignment horizontal="center" vertical="center" wrapText="1"/>
    </xf>
    <xf numFmtId="0" fontId="16" fillId="0" borderId="31" xfId="2620" applyBorder="1" applyAlignment="1">
      <alignment horizontal="center" vertical="center" wrapText="1"/>
    </xf>
    <xf numFmtId="0" fontId="5" fillId="0" borderId="32" xfId="2620" applyFont="1" applyBorder="1" applyAlignment="1">
      <alignment horizontal="center" vertical="center" wrapText="1"/>
    </xf>
    <xf numFmtId="0" fontId="16" fillId="0" borderId="33" xfId="2620" applyBorder="1" applyAlignment="1">
      <alignment horizontal="center" vertical="center"/>
    </xf>
    <xf numFmtId="0" fontId="16" fillId="0" borderId="34" xfId="2620" applyBorder="1" applyAlignment="1">
      <alignment horizontal="left" vertical="center" indent="7"/>
    </xf>
    <xf numFmtId="0" fontId="16" fillId="0" borderId="33" xfId="2620" applyBorder="1" applyAlignment="1">
      <alignment horizontal="center" vertical="center" wrapText="1"/>
    </xf>
    <xf numFmtId="0" fontId="16" fillId="0" borderId="35" xfId="2620" applyBorder="1" applyAlignment="1">
      <alignment horizontal="center" vertical="center"/>
    </xf>
    <xf numFmtId="0" fontId="16" fillId="0" borderId="36" xfId="2620" applyBorder="1" applyAlignment="1">
      <alignment horizontal="left" vertical="center" indent="7"/>
    </xf>
    <xf numFmtId="0" fontId="16" fillId="0" borderId="37" xfId="2620" applyBorder="1" applyAlignment="1">
      <alignment horizontal="left" vertical="center" indent="7"/>
    </xf>
    <xf numFmtId="0" fontId="16" fillId="0" borderId="38" xfId="2620" applyBorder="1" applyAlignment="1">
      <alignment horizontal="left" vertical="center" indent="7"/>
    </xf>
    <xf numFmtId="0" fontId="5" fillId="0" borderId="39" xfId="2620" applyFont="1" applyBorder="1" applyAlignment="1">
      <alignment horizontal="center" vertical="center" wrapText="1"/>
    </xf>
    <xf numFmtId="0" fontId="5" fillId="0" borderId="40" xfId="2620" applyFont="1" applyBorder="1" applyAlignment="1">
      <alignment horizontal="center" vertical="center" wrapText="1"/>
    </xf>
    <xf numFmtId="0" fontId="5" fillId="0" borderId="41" xfId="2620" applyFont="1" applyBorder="1" applyAlignment="1">
      <alignment horizontal="center" vertical="center" wrapText="1"/>
    </xf>
    <xf numFmtId="0" fontId="16" fillId="0" borderId="26" xfId="2620" applyBorder="1" applyAlignment="1">
      <alignment horizontal="center"/>
    </xf>
    <xf numFmtId="0" fontId="5" fillId="0" borderId="30" xfId="2620" applyFont="1" applyBorder="1" applyAlignment="1">
      <alignment horizontal="center" vertical="center" wrapText="1"/>
    </xf>
    <xf numFmtId="0" fontId="5" fillId="0" borderId="31" xfId="2620" applyFont="1" applyBorder="1" applyAlignment="1">
      <alignment horizontal="center" vertical="center" wrapText="1"/>
    </xf>
    <xf numFmtId="0" fontId="16" fillId="0" borderId="30" xfId="2620" applyBorder="1" applyAlignment="1">
      <alignment horizontal="center"/>
    </xf>
    <xf numFmtId="0" fontId="16" fillId="0" borderId="37" xfId="2620" applyFont="1" applyBorder="1" applyAlignment="1">
      <alignment vertical="center"/>
    </xf>
    <xf numFmtId="0" fontId="16" fillId="0" borderId="30" xfId="2620" applyFont="1" applyBorder="1" applyAlignment="1">
      <alignment horizontal="center" vertical="center" wrapText="1"/>
    </xf>
    <xf numFmtId="0" fontId="16" fillId="0" borderId="4" xfId="2620" applyFont="1" applyBorder="1" applyAlignment="1">
      <alignment horizontal="center" vertical="center" wrapText="1"/>
    </xf>
    <xf numFmtId="0" fontId="16" fillId="0" borderId="32" xfId="2620" applyFont="1" applyBorder="1" applyAlignment="1">
      <alignment horizontal="center" vertical="center" wrapText="1"/>
    </xf>
    <xf numFmtId="0" fontId="6" fillId="0" borderId="4" xfId="2620" applyFont="1" applyBorder="1" applyAlignment="1">
      <alignment horizontal="left" vertical="center" wrapText="1" indent="1"/>
    </xf>
    <xf numFmtId="0" fontId="6" fillId="0" borderId="30" xfId="2620" applyFont="1" applyBorder="1" applyAlignment="1">
      <alignment horizontal="left" vertical="center" wrapText="1" indent="1"/>
    </xf>
    <xf numFmtId="0" fontId="16" fillId="0" borderId="32" xfId="2620" applyBorder="1" applyAlignment="1">
      <alignment horizontal="center" vertical="center" wrapText="1"/>
    </xf>
    <xf numFmtId="17" fontId="16" fillId="0" borderId="0" xfId="2620" applyNumberFormat="1" applyBorder="1" applyAlignment="1">
      <alignment horizontal="center"/>
    </xf>
    <xf numFmtId="0" fontId="16" fillId="0" borderId="42" xfId="2620" applyBorder="1" applyAlignment="1">
      <alignment horizontal="center" vertical="center" wrapText="1"/>
    </xf>
    <xf numFmtId="0" fontId="16" fillId="0" borderId="40" xfId="2620" applyFont="1" applyBorder="1" applyAlignment="1">
      <alignment horizontal="center" vertical="center" wrapText="1"/>
    </xf>
    <xf numFmtId="0" fontId="16" fillId="0" borderId="40" xfId="2620" applyFont="1" applyBorder="1" applyAlignment="1">
      <alignment horizontal="center" vertical="center"/>
    </xf>
    <xf numFmtId="0" fontId="16" fillId="0" borderId="30" xfId="2620" applyBorder="1" applyAlignment="1">
      <alignment horizontal="center" vertical="center"/>
    </xf>
    <xf numFmtId="0" fontId="6" fillId="0" borderId="0" xfId="2618" applyNumberFormat="1" applyFont="1" applyFill="1" applyBorder="1" applyAlignment="1" applyProtection="1">
      <alignment vertical="top"/>
    </xf>
    <xf numFmtId="0" fontId="6" fillId="0" borderId="0" xfId="2618" applyNumberFormat="1" applyFont="1" applyFill="1" applyBorder="1" applyAlignment="1" applyProtection="1">
      <alignment vertical="top" wrapText="1"/>
    </xf>
    <xf numFmtId="0" fontId="16" fillId="0" borderId="0" xfId="2617"/>
    <xf numFmtId="0" fontId="16" fillId="0" borderId="0" xfId="2617" applyBorder="1"/>
    <xf numFmtId="0" fontId="6" fillId="0" borderId="0" xfId="2618" applyNumberFormat="1" applyFont="1" applyFill="1" applyBorder="1" applyAlignment="1" applyProtection="1">
      <alignment horizontal="right" vertical="top"/>
    </xf>
    <xf numFmtId="0" fontId="6" fillId="0" borderId="0" xfId="2617" applyNumberFormat="1" applyFont="1" applyFill="1" applyBorder="1" applyAlignment="1" applyProtection="1">
      <alignment vertical="top"/>
    </xf>
    <xf numFmtId="0" fontId="6" fillId="0" borderId="0" xfId="2617" applyNumberFormat="1" applyFont="1" applyFill="1" applyBorder="1" applyAlignment="1" applyProtection="1">
      <alignment vertical="top" wrapText="1"/>
    </xf>
    <xf numFmtId="0" fontId="6" fillId="0" borderId="0" xfId="2617" applyNumberFormat="1" applyFont="1" applyFill="1" applyBorder="1" applyAlignment="1" applyProtection="1">
      <alignment horizontal="right" vertical="top"/>
    </xf>
    <xf numFmtId="0" fontId="16" fillId="0" borderId="4" xfId="2617" applyFont="1" applyBorder="1"/>
    <xf numFmtId="0" fontId="16" fillId="0" borderId="0" xfId="2617" applyBorder="1" applyAlignment="1">
      <alignment wrapText="1"/>
    </xf>
    <xf numFmtId="0" fontId="16" fillId="0" borderId="0" xfId="2617" applyAlignment="1">
      <alignment wrapText="1"/>
    </xf>
    <xf numFmtId="0" fontId="20" fillId="0" borderId="33" xfId="2617" applyFont="1" applyBorder="1" applyAlignment="1">
      <alignment horizontal="center" wrapText="1"/>
    </xf>
    <xf numFmtId="0" fontId="16" fillId="0" borderId="32" xfId="2617" applyFont="1" applyBorder="1"/>
    <xf numFmtId="0" fontId="16" fillId="0" borderId="41" xfId="2617" applyFont="1" applyBorder="1"/>
    <xf numFmtId="3" fontId="14" fillId="0" borderId="29" xfId="2617" applyNumberFormat="1" applyFont="1" applyBorder="1" applyAlignment="1"/>
    <xf numFmtId="3" fontId="14" fillId="0" borderId="38" xfId="2617" applyNumberFormat="1" applyFont="1" applyBorder="1" applyAlignment="1"/>
    <xf numFmtId="0" fontId="7" fillId="0" borderId="32" xfId="2617" applyFont="1" applyBorder="1" applyAlignment="1">
      <alignment wrapText="1"/>
    </xf>
    <xf numFmtId="0" fontId="7" fillId="0" borderId="32" xfId="2617" applyFont="1" applyBorder="1" applyAlignment="1">
      <alignment horizontal="justify" wrapText="1"/>
    </xf>
    <xf numFmtId="0" fontId="7" fillId="0" borderId="41" xfId="2617" applyFont="1" applyBorder="1" applyAlignment="1">
      <alignment wrapText="1"/>
    </xf>
    <xf numFmtId="49" fontId="9" fillId="0" borderId="43" xfId="0" applyNumberFormat="1" applyFont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2" fillId="0" borderId="2" xfId="2620" applyFont="1" applyBorder="1" applyAlignment="1">
      <alignment horizontal="center" vertical="center" wrapText="1"/>
    </xf>
    <xf numFmtId="0" fontId="22" fillId="0" borderId="46" xfId="2620" applyFont="1" applyBorder="1" applyAlignment="1">
      <alignment horizontal="center" vertical="center" wrapText="1"/>
    </xf>
    <xf numFmtId="0" fontId="21" fillId="0" borderId="0" xfId="2620" applyFont="1" applyBorder="1" applyAlignment="1">
      <alignment horizontal="center" wrapText="1"/>
    </xf>
    <xf numFmtId="0" fontId="7" fillId="0" borderId="33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6" fillId="0" borderId="0" xfId="2620" applyFill="1"/>
    <xf numFmtId="0" fontId="7" fillId="0" borderId="0" xfId="0" applyFont="1" applyFill="1" applyAlignment="1">
      <alignment horizontal="center" vertical="center" wrapText="1"/>
    </xf>
    <xf numFmtId="0" fontId="16" fillId="0" borderId="45" xfId="2620" applyBorder="1" applyAlignment="1">
      <alignment horizontal="center" vertical="center" wrapText="1"/>
    </xf>
    <xf numFmtId="0" fontId="23" fillId="0" borderId="49" xfId="2620" applyFont="1" applyBorder="1" applyAlignment="1">
      <alignment wrapText="1"/>
    </xf>
    <xf numFmtId="0" fontId="16" fillId="0" borderId="29" xfId="2620" applyBorder="1" applyAlignment="1">
      <alignment horizontal="left" wrapText="1"/>
    </xf>
    <xf numFmtId="0" fontId="16" fillId="0" borderId="29" xfId="2620" applyBorder="1" applyAlignment="1">
      <alignment horizontal="right" wrapText="1"/>
    </xf>
    <xf numFmtId="0" fontId="16" fillId="0" borderId="29" xfId="2620" applyFont="1" applyBorder="1" applyAlignment="1">
      <alignment horizontal="right" wrapText="1"/>
    </xf>
    <xf numFmtId="0" fontId="16" fillId="0" borderId="38" xfId="2620" applyBorder="1" applyAlignment="1">
      <alignment horizontal="right" wrapText="1"/>
    </xf>
    <xf numFmtId="0" fontId="16" fillId="0" borderId="49" xfId="2620" applyBorder="1" applyAlignment="1">
      <alignment horizontal="left" wrapText="1"/>
    </xf>
    <xf numFmtId="0" fontId="16" fillId="0" borderId="48" xfId="2620" applyBorder="1"/>
    <xf numFmtId="0" fontId="16" fillId="0" borderId="25" xfId="2620" applyFont="1" applyBorder="1" applyAlignment="1">
      <alignment horizontal="center"/>
    </xf>
    <xf numFmtId="0" fontId="16" fillId="0" borderId="33" xfId="2620" applyFont="1" applyBorder="1" applyAlignment="1">
      <alignment horizontal="center"/>
    </xf>
    <xf numFmtId="0" fontId="16" fillId="0" borderId="33" xfId="2620" applyBorder="1" applyAlignment="1">
      <alignment horizontal="center"/>
    </xf>
    <xf numFmtId="0" fontId="16" fillId="0" borderId="39" xfId="2620" applyBorder="1" applyAlignment="1">
      <alignment horizontal="center"/>
    </xf>
    <xf numFmtId="0" fontId="16" fillId="0" borderId="38" xfId="2620" applyFont="1" applyBorder="1" applyAlignment="1">
      <alignment horizontal="right" wrapText="1"/>
    </xf>
    <xf numFmtId="0" fontId="16" fillId="0" borderId="39" xfId="262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20" fillId="0" borderId="33" xfId="2617" applyFont="1" applyBorder="1" applyAlignment="1">
      <alignment horizontal="right" wrapText="1"/>
    </xf>
    <xf numFmtId="0" fontId="20" fillId="0" borderId="39" xfId="2617" applyFont="1" applyBorder="1" applyAlignment="1">
      <alignment horizontal="right" wrapText="1"/>
    </xf>
    <xf numFmtId="0" fontId="7" fillId="0" borderId="38" xfId="2617" applyNumberFormat="1" applyFont="1" applyFill="1" applyBorder="1" applyAlignment="1" applyProtection="1">
      <alignment horizontal="center" vertical="center" wrapText="1"/>
    </xf>
    <xf numFmtId="0" fontId="7" fillId="0" borderId="40" xfId="2617" applyNumberFormat="1" applyFont="1" applyFill="1" applyBorder="1" applyAlignment="1" applyProtection="1">
      <alignment horizontal="center" vertical="center" wrapText="1"/>
    </xf>
    <xf numFmtId="0" fontId="7" fillId="0" borderId="41" xfId="2617" applyNumberFormat="1" applyFont="1" applyFill="1" applyBorder="1" applyAlignment="1" applyProtection="1">
      <alignment horizontal="center" vertical="center" wrapText="1"/>
    </xf>
    <xf numFmtId="0" fontId="20" fillId="0" borderId="25" xfId="2617" applyFont="1" applyBorder="1" applyAlignment="1">
      <alignment horizontal="center" wrapText="1"/>
    </xf>
    <xf numFmtId="0" fontId="7" fillId="0" borderId="31" xfId="2617" applyFont="1" applyBorder="1" applyAlignment="1">
      <alignment wrapText="1"/>
    </xf>
    <xf numFmtId="3" fontId="14" fillId="0" borderId="49" xfId="2617" applyNumberFormat="1" applyFont="1" applyBorder="1" applyAlignment="1"/>
    <xf numFmtId="0" fontId="16" fillId="0" borderId="31" xfId="2617" applyFont="1" applyBorder="1"/>
    <xf numFmtId="0" fontId="20" fillId="0" borderId="39" xfId="2617" applyFont="1" applyBorder="1" applyAlignment="1">
      <alignment horizontal="center" wrapText="1"/>
    </xf>
    <xf numFmtId="0" fontId="20" fillId="0" borderId="50" xfId="2617" applyFont="1" applyBorder="1" applyAlignment="1">
      <alignment horizontal="center" wrapText="1"/>
    </xf>
    <xf numFmtId="0" fontId="7" fillId="0" borderId="51" xfId="2617" applyFont="1" applyBorder="1" applyAlignment="1">
      <alignment wrapText="1"/>
    </xf>
    <xf numFmtId="3" fontId="14" fillId="0" borderId="23" xfId="2617" applyNumberFormat="1" applyFont="1" applyBorder="1" applyAlignment="1"/>
    <xf numFmtId="0" fontId="16" fillId="0" borderId="51" xfId="2617" applyFont="1" applyBorder="1"/>
    <xf numFmtId="3" fontId="14" fillId="0" borderId="25" xfId="2617" applyNumberFormat="1" applyFont="1" applyBorder="1" applyAlignment="1"/>
    <xf numFmtId="3" fontId="14" fillId="0" borderId="33" xfId="2617" applyNumberFormat="1" applyFont="1" applyBorder="1" applyAlignment="1"/>
    <xf numFmtId="3" fontId="14" fillId="0" borderId="39" xfId="2617" applyNumberFormat="1" applyFont="1" applyBorder="1" applyAlignment="1"/>
    <xf numFmtId="168" fontId="14" fillId="0" borderId="38" xfId="2664" applyNumberFormat="1" applyFont="1" applyBorder="1" applyAlignment="1"/>
    <xf numFmtId="168" fontId="14" fillId="0" borderId="39" xfId="2664" applyNumberFormat="1" applyFont="1" applyBorder="1" applyAlignment="1"/>
    <xf numFmtId="168" fontId="14" fillId="0" borderId="52" xfId="2664" applyNumberFormat="1" applyFont="1" applyBorder="1" applyAlignment="1"/>
    <xf numFmtId="3" fontId="7" fillId="0" borderId="53" xfId="2617" applyNumberFormat="1" applyFont="1" applyBorder="1" applyAlignment="1"/>
    <xf numFmtId="3" fontId="7" fillId="0" borderId="30" xfId="2617" applyNumberFormat="1" applyFont="1" applyBorder="1" applyAlignment="1">
      <alignment horizontal="center" vertical="center"/>
    </xf>
    <xf numFmtId="3" fontId="7" fillId="0" borderId="30" xfId="2617" applyNumberFormat="1" applyFont="1" applyBorder="1" applyAlignment="1"/>
    <xf numFmtId="3" fontId="7" fillId="0" borderId="4" xfId="2617" applyNumberFormat="1" applyFont="1" applyBorder="1" applyAlignment="1">
      <alignment horizontal="center" vertical="center"/>
    </xf>
    <xf numFmtId="3" fontId="7" fillId="0" borderId="4" xfId="2617" applyNumberFormat="1" applyFont="1" applyBorder="1" applyAlignment="1"/>
    <xf numFmtId="3" fontId="7" fillId="0" borderId="40" xfId="2617" applyNumberFormat="1" applyFont="1" applyBorder="1" applyAlignment="1">
      <alignment horizontal="center" vertical="center"/>
    </xf>
    <xf numFmtId="0" fontId="25" fillId="0" borderId="0" xfId="2617" applyFont="1"/>
    <xf numFmtId="0" fontId="16" fillId="0" borderId="41" xfId="2620" applyFont="1" applyBorder="1" applyAlignment="1">
      <alignment horizontal="center"/>
    </xf>
    <xf numFmtId="0" fontId="16" fillId="0" borderId="41" xfId="2620" applyFont="1" applyFill="1" applyBorder="1" applyAlignment="1">
      <alignment horizontal="center" vertical="center" wrapText="1"/>
    </xf>
    <xf numFmtId="0" fontId="16" fillId="0" borderId="31" xfId="2620" applyFill="1" applyBorder="1" applyAlignment="1">
      <alignment horizontal="center" vertical="center" wrapText="1"/>
    </xf>
    <xf numFmtId="0" fontId="16" fillId="0" borderId="32" xfId="2620" applyFill="1" applyBorder="1" applyAlignment="1">
      <alignment horizontal="center" vertical="center" wrapText="1"/>
    </xf>
    <xf numFmtId="0" fontId="16" fillId="0" borderId="35" xfId="2620" applyBorder="1" applyAlignment="1">
      <alignment horizontal="center"/>
    </xf>
    <xf numFmtId="0" fontId="16" fillId="0" borderId="54" xfId="2620" applyBorder="1" applyAlignment="1">
      <alignment horizontal="right" wrapText="1"/>
    </xf>
    <xf numFmtId="0" fontId="23" fillId="0" borderId="30" xfId="2620" applyFont="1" applyBorder="1" applyAlignment="1">
      <alignment wrapText="1"/>
    </xf>
    <xf numFmtId="0" fontId="5" fillId="3" borderId="30" xfId="2620" applyFont="1" applyFill="1" applyBorder="1" applyAlignment="1" applyProtection="1">
      <alignment horizontal="center" vertical="center" wrapText="1"/>
      <protection locked="0"/>
    </xf>
    <xf numFmtId="0" fontId="5" fillId="3" borderId="4" xfId="2620" applyFont="1" applyFill="1" applyBorder="1" applyAlignment="1" applyProtection="1">
      <alignment horizontal="center" vertical="center" wrapText="1"/>
      <protection locked="0"/>
    </xf>
    <xf numFmtId="0" fontId="16" fillId="3" borderId="4" xfId="2620" applyFill="1" applyBorder="1" applyProtection="1">
      <protection locked="0"/>
    </xf>
    <xf numFmtId="0" fontId="16" fillId="3" borderId="4" xfId="2620" applyFill="1" applyBorder="1" applyAlignment="1" applyProtection="1">
      <alignment horizontal="center"/>
      <protection locked="0"/>
    </xf>
    <xf numFmtId="0" fontId="16" fillId="3" borderId="26" xfId="2620" applyFill="1" applyBorder="1" applyAlignment="1" applyProtection="1">
      <alignment horizontal="center" vertical="center" wrapText="1"/>
      <protection locked="0"/>
    </xf>
    <xf numFmtId="0" fontId="16" fillId="3" borderId="4" xfId="2620" applyFill="1" applyBorder="1" applyAlignment="1" applyProtection="1">
      <alignment horizontal="center" vertical="center" wrapText="1"/>
      <protection locked="0"/>
    </xf>
    <xf numFmtId="0" fontId="16" fillId="3" borderId="27" xfId="2620" applyFill="1" applyBorder="1" applyAlignment="1" applyProtection="1">
      <alignment horizontal="center" vertical="center" wrapText="1"/>
      <protection locked="0"/>
    </xf>
    <xf numFmtId="3" fontId="7" fillId="3" borderId="4" xfId="2617" applyNumberFormat="1" applyFont="1" applyFill="1" applyBorder="1" applyAlignment="1" applyProtection="1">
      <protection locked="0"/>
    </xf>
    <xf numFmtId="0" fontId="16" fillId="3" borderId="32" xfId="2617" applyFont="1" applyFill="1" applyBorder="1" applyProtection="1">
      <protection locked="0"/>
    </xf>
    <xf numFmtId="0" fontId="7" fillId="3" borderId="32" xfId="2617" applyFont="1" applyFill="1" applyBorder="1" applyAlignment="1" applyProtection="1">
      <alignment wrapText="1"/>
      <protection locked="0"/>
    </xf>
    <xf numFmtId="0" fontId="7" fillId="3" borderId="41" xfId="2617" applyFont="1" applyFill="1" applyBorder="1" applyAlignment="1" applyProtection="1">
      <alignment wrapText="1"/>
      <protection locked="0"/>
    </xf>
    <xf numFmtId="0" fontId="16" fillId="3" borderId="30" xfId="2617" applyFont="1" applyFill="1" applyBorder="1" applyProtection="1">
      <protection locked="0"/>
    </xf>
    <xf numFmtId="0" fontId="16" fillId="3" borderId="31" xfId="2617" applyFont="1" applyFill="1" applyBorder="1" applyProtection="1">
      <protection locked="0"/>
    </xf>
    <xf numFmtId="0" fontId="16" fillId="3" borderId="4" xfId="2617" applyFont="1" applyFill="1" applyBorder="1" applyProtection="1">
      <protection locked="0"/>
    </xf>
    <xf numFmtId="0" fontId="16" fillId="3" borderId="40" xfId="2617" applyFont="1" applyFill="1" applyBorder="1" applyProtection="1">
      <protection locked="0"/>
    </xf>
    <xf numFmtId="0" fontId="16" fillId="3" borderId="41" xfId="2617" applyFont="1" applyFill="1" applyBorder="1" applyProtection="1">
      <protection locked="0"/>
    </xf>
    <xf numFmtId="0" fontId="13" fillId="3" borderId="55" xfId="2617" applyFont="1" applyFill="1" applyBorder="1" applyAlignment="1" applyProtection="1">
      <alignment wrapText="1"/>
      <protection locked="0"/>
    </xf>
    <xf numFmtId="0" fontId="13" fillId="3" borderId="51" xfId="2617" applyFont="1" applyFill="1" applyBorder="1" applyAlignment="1" applyProtection="1">
      <alignment wrapText="1"/>
      <protection locked="0"/>
    </xf>
    <xf numFmtId="0" fontId="16" fillId="3" borderId="27" xfId="2617" applyFont="1" applyFill="1" applyBorder="1" applyProtection="1">
      <protection locked="0"/>
    </xf>
    <xf numFmtId="0" fontId="16" fillId="3" borderId="55" xfId="2617" applyFont="1" applyFill="1" applyBorder="1" applyProtection="1">
      <protection locked="0"/>
    </xf>
    <xf numFmtId="0" fontId="16" fillId="0" borderId="0" xfId="2617" applyProtection="1"/>
    <xf numFmtId="0" fontId="19" fillId="0" borderId="0" xfId="2618" applyNumberFormat="1" applyFont="1" applyFill="1" applyBorder="1" applyAlignment="1" applyProtection="1">
      <alignment vertical="top"/>
    </xf>
    <xf numFmtId="0" fontId="19" fillId="0" borderId="0" xfId="2618" applyNumberFormat="1" applyFont="1" applyFill="1" applyBorder="1" applyAlignment="1" applyProtection="1">
      <alignment vertical="top" wrapText="1"/>
    </xf>
    <xf numFmtId="49" fontId="7" fillId="0" borderId="0" xfId="0" applyNumberFormat="1" applyFont="1" applyProtection="1"/>
    <xf numFmtId="49" fontId="8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24" fillId="0" borderId="0" xfId="0" applyFont="1" applyFill="1" applyAlignment="1" applyProtection="1"/>
    <xf numFmtId="0" fontId="16" fillId="0" borderId="0" xfId="2620" applyFill="1" applyProtection="1"/>
    <xf numFmtId="0" fontId="24" fillId="0" borderId="0" xfId="0" applyFont="1" applyFill="1" applyAlignment="1" applyProtection="1">
      <alignment wrapText="1"/>
    </xf>
    <xf numFmtId="0" fontId="16" fillId="0" borderId="0" xfId="2620" applyProtection="1"/>
    <xf numFmtId="0" fontId="0" fillId="0" borderId="0" xfId="0" applyAlignment="1">
      <alignment wrapText="1"/>
    </xf>
    <xf numFmtId="9" fontId="14" fillId="0" borderId="52" xfId="2664" applyNumberFormat="1" applyFont="1" applyBorder="1" applyAlignment="1"/>
    <xf numFmtId="0" fontId="6" fillId="0" borderId="25" xfId="2618" applyNumberFormat="1" applyFont="1" applyFill="1" applyBorder="1" applyAlignment="1" applyProtection="1">
      <alignment vertical="top"/>
    </xf>
    <xf numFmtId="0" fontId="6" fillId="0" borderId="33" xfId="2618" applyNumberFormat="1" applyFont="1" applyFill="1" applyBorder="1" applyAlignment="1" applyProtection="1">
      <alignment vertical="top"/>
    </xf>
    <xf numFmtId="0" fontId="16" fillId="0" borderId="39" xfId="2617" applyFont="1" applyBorder="1"/>
    <xf numFmtId="0" fontId="6" fillId="0" borderId="56" xfId="2618" applyNumberFormat="1" applyFont="1" applyFill="1" applyBorder="1" applyAlignment="1" applyProtection="1">
      <alignment vertical="top" wrapText="1"/>
    </xf>
    <xf numFmtId="0" fontId="6" fillId="0" borderId="57" xfId="2618" applyNumberFormat="1" applyFont="1" applyFill="1" applyBorder="1" applyAlignment="1" applyProtection="1">
      <alignment vertical="top" wrapText="1"/>
    </xf>
    <xf numFmtId="0" fontId="16" fillId="0" borderId="58" xfId="2617" applyFont="1" applyBorder="1" applyAlignment="1">
      <alignment wrapText="1"/>
    </xf>
    <xf numFmtId="49" fontId="7" fillId="0" borderId="4" xfId="2621" applyNumberFormat="1" applyFont="1" applyBorder="1" applyAlignment="1">
      <alignment horizontal="center"/>
    </xf>
    <xf numFmtId="49" fontId="7" fillId="0" borderId="4" xfId="2621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wrapText="1"/>
    </xf>
    <xf numFmtId="0" fontId="29" fillId="72" borderId="4" xfId="0" applyFont="1" applyFill="1" applyBorder="1" applyAlignment="1">
      <alignment wrapText="1"/>
    </xf>
    <xf numFmtId="0" fontId="29" fillId="0" borderId="4" xfId="0" applyFont="1" applyBorder="1" applyAlignment="1">
      <alignment wrapText="1"/>
    </xf>
    <xf numFmtId="49" fontId="7" fillId="0" borderId="4" xfId="2621" applyNumberFormat="1" applyFont="1" applyBorder="1"/>
    <xf numFmtId="0" fontId="30" fillId="0" borderId="4" xfId="0" applyFont="1" applyBorder="1" applyAlignment="1">
      <alignment wrapText="1"/>
    </xf>
    <xf numFmtId="49" fontId="8" fillId="0" borderId="4" xfId="2621" applyNumberFormat="1" applyFont="1" applyBorder="1" applyAlignment="1">
      <alignment horizontal="center" vertical="center"/>
    </xf>
    <xf numFmtId="0" fontId="29" fillId="0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 wrapText="1"/>
    </xf>
    <xf numFmtId="169" fontId="29" fillId="72" borderId="4" xfId="2664" applyNumberFormat="1" applyFont="1" applyFill="1" applyBorder="1" applyAlignment="1">
      <alignment horizontal="center"/>
    </xf>
    <xf numFmtId="0" fontId="29" fillId="0" borderId="4" xfId="0" applyFont="1" applyBorder="1" applyAlignment="1">
      <alignment horizontal="center" wrapText="1"/>
    </xf>
    <xf numFmtId="0" fontId="29" fillId="0" borderId="4" xfId="0" applyFont="1" applyBorder="1" applyAlignment="1">
      <alignment horizontal="center"/>
    </xf>
    <xf numFmtId="3" fontId="29" fillId="0" borderId="4" xfId="0" applyNumberFormat="1" applyFont="1" applyBorder="1" applyAlignment="1">
      <alignment horizontal="center"/>
    </xf>
    <xf numFmtId="0" fontId="8" fillId="0" borderId="0" xfId="2621" applyFont="1" applyAlignment="1">
      <alignment horizontal="left" wrapText="1"/>
    </xf>
    <xf numFmtId="0" fontId="32" fillId="0" borderId="0" xfId="0" applyFont="1" applyAlignment="1">
      <alignment horizontal="center" wrapText="1"/>
    </xf>
    <xf numFmtId="0" fontId="26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6" fillId="0" borderId="0" xfId="0" applyFont="1" applyAlignment="1">
      <alignment horizontal="right"/>
    </xf>
    <xf numFmtId="0" fontId="0" fillId="0" borderId="0" xfId="0" applyBorder="1"/>
    <xf numFmtId="0" fontId="27" fillId="0" borderId="0" xfId="0" applyFont="1" applyAlignment="1">
      <alignment wrapText="1"/>
    </xf>
    <xf numFmtId="0" fontId="26" fillId="0" borderId="19" xfId="0" applyFont="1" applyBorder="1" applyAlignment="1">
      <alignment horizontal="justify" vertical="top" wrapText="1"/>
    </xf>
    <xf numFmtId="0" fontId="26" fillId="0" borderId="59" xfId="0" applyFont="1" applyBorder="1" applyAlignment="1">
      <alignment horizontal="justify" vertical="top" wrapText="1"/>
    </xf>
    <xf numFmtId="0" fontId="26" fillId="0" borderId="60" xfId="0" applyFont="1" applyBorder="1" applyAlignment="1">
      <alignment horizontal="justify" vertical="top" wrapText="1"/>
    </xf>
    <xf numFmtId="0" fontId="26" fillId="0" borderId="60" xfId="0" applyFont="1" applyBorder="1" applyAlignment="1">
      <alignment horizontal="center" vertical="top" wrapText="1"/>
    </xf>
    <xf numFmtId="0" fontId="32" fillId="0" borderId="59" xfId="0" applyFont="1" applyBorder="1" applyAlignment="1">
      <alignment horizontal="justify" vertical="top" wrapText="1"/>
    </xf>
    <xf numFmtId="0" fontId="37" fillId="0" borderId="59" xfId="0" applyFont="1" applyBorder="1" applyAlignment="1">
      <alignment horizontal="justify" vertical="top" wrapText="1"/>
    </xf>
    <xf numFmtId="0" fontId="26" fillId="0" borderId="0" xfId="0" applyFont="1"/>
    <xf numFmtId="0" fontId="0" fillId="0" borderId="0" xfId="0" applyAlignment="1"/>
    <xf numFmtId="0" fontId="32" fillId="0" borderId="61" xfId="0" applyFont="1" applyBorder="1" applyAlignment="1">
      <alignment horizontal="justify" vertical="top" wrapText="1"/>
    </xf>
    <xf numFmtId="0" fontId="32" fillId="0" borderId="62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/>
    </xf>
    <xf numFmtId="0" fontId="26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0" fontId="0" fillId="0" borderId="0" xfId="0" applyFill="1"/>
    <xf numFmtId="0" fontId="32" fillId="0" borderId="0" xfId="0" applyFont="1" applyBorder="1" applyAlignment="1">
      <alignment horizontal="justify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justify" vertical="top" wrapText="1"/>
    </xf>
    <xf numFmtId="0" fontId="26" fillId="0" borderId="63" xfId="0" applyFont="1" applyBorder="1" applyAlignment="1">
      <alignment horizontal="justify" vertical="top" wrapText="1"/>
    </xf>
    <xf numFmtId="0" fontId="26" fillId="0" borderId="4" xfId="0" applyFont="1" applyBorder="1" applyAlignment="1">
      <alignment wrapText="1"/>
    </xf>
    <xf numFmtId="0" fontId="26" fillId="0" borderId="4" xfId="0" applyFont="1" applyBorder="1"/>
    <xf numFmtId="0" fontId="0" fillId="0" borderId="4" xfId="0" applyBorder="1"/>
    <xf numFmtId="0" fontId="32" fillId="0" borderId="4" xfId="0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left" vertical="center" wrapText="1"/>
    </xf>
    <xf numFmtId="9" fontId="30" fillId="0" borderId="4" xfId="2664" applyFont="1" applyBorder="1" applyAlignment="1" applyProtection="1">
      <alignment horizontal="center" wrapText="1"/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49" fontId="7" fillId="72" borderId="4" xfId="2621" applyNumberFormat="1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 applyProtection="1">
      <alignment horizontal="center"/>
      <protection locked="0"/>
    </xf>
    <xf numFmtId="169" fontId="29" fillId="0" borderId="4" xfId="2664" applyNumberFormat="1" applyFont="1" applyFill="1" applyBorder="1" applyAlignment="1">
      <alignment horizontal="center"/>
    </xf>
    <xf numFmtId="9" fontId="7" fillId="0" borderId="4" xfId="2664" applyFont="1" applyBorder="1" applyAlignment="1" applyProtection="1">
      <alignment horizontal="center" wrapText="1"/>
      <protection locked="0"/>
    </xf>
    <xf numFmtId="3" fontId="29" fillId="0" borderId="4" xfId="0" applyNumberFormat="1" applyFont="1" applyFill="1" applyBorder="1" applyAlignment="1" applyProtection="1">
      <alignment horizontal="center"/>
      <protection locked="0"/>
    </xf>
    <xf numFmtId="49" fontId="7" fillId="72" borderId="4" xfId="2621" applyNumberFormat="1" applyFont="1" applyFill="1" applyBorder="1" applyAlignment="1">
      <alignment horizontal="center"/>
    </xf>
    <xf numFmtId="3" fontId="29" fillId="0" borderId="4" xfId="0" applyNumberFormat="1" applyFont="1" applyFill="1" applyBorder="1" applyAlignment="1">
      <alignment horizontal="center"/>
    </xf>
    <xf numFmtId="3" fontId="29" fillId="0" borderId="4" xfId="0" applyNumberFormat="1" applyFont="1" applyBorder="1" applyAlignment="1" applyProtection="1">
      <alignment horizontal="center" wrapText="1"/>
      <protection locked="0"/>
    </xf>
    <xf numFmtId="3" fontId="7" fillId="0" borderId="4" xfId="0" applyNumberFormat="1" applyFont="1" applyBorder="1" applyAlignment="1" applyProtection="1">
      <alignment horizontal="center" wrapText="1"/>
      <protection locked="0"/>
    </xf>
    <xf numFmtId="2" fontId="7" fillId="0" borderId="4" xfId="0" applyNumberFormat="1" applyFont="1" applyBorder="1" applyAlignment="1" applyProtection="1">
      <alignment horizontal="center" wrapText="1"/>
      <protection locked="0"/>
    </xf>
    <xf numFmtId="4" fontId="29" fillId="0" borderId="4" xfId="0" applyNumberFormat="1" applyFont="1" applyFill="1" applyBorder="1" applyAlignment="1" applyProtection="1">
      <alignment horizontal="center" wrapText="1"/>
      <protection locked="0"/>
    </xf>
    <xf numFmtId="0" fontId="8" fillId="0" borderId="4" xfId="0" applyFont="1" applyBorder="1" applyAlignment="1">
      <alignment wrapText="1"/>
    </xf>
    <xf numFmtId="0" fontId="16" fillId="0" borderId="57" xfId="2620" applyBorder="1" applyAlignment="1">
      <alignment horizontal="center"/>
    </xf>
    <xf numFmtId="0" fontId="5" fillId="3" borderId="27" xfId="2620" applyFont="1" applyFill="1" applyBorder="1" applyAlignment="1" applyProtection="1">
      <alignment horizontal="center" vertical="center" wrapText="1"/>
      <protection locked="0"/>
    </xf>
    <xf numFmtId="0" fontId="5" fillId="0" borderId="55" xfId="2620" applyFont="1" applyBorder="1" applyAlignment="1">
      <alignment horizontal="center" vertical="center" wrapText="1"/>
    </xf>
    <xf numFmtId="0" fontId="16" fillId="0" borderId="4" xfId="2620" applyBorder="1"/>
    <xf numFmtId="0" fontId="16" fillId="0" borderId="58" xfId="2620" applyFont="1" applyBorder="1" applyAlignment="1">
      <alignment horizontal="center"/>
    </xf>
    <xf numFmtId="0" fontId="43" fillId="0" borderId="0" xfId="2620" applyFont="1"/>
    <xf numFmtId="0" fontId="5" fillId="3" borderId="56" xfId="2620" applyFont="1" applyFill="1" applyBorder="1" applyAlignment="1" applyProtection="1">
      <alignment horizontal="center" vertical="center" wrapText="1"/>
      <protection locked="0"/>
    </xf>
    <xf numFmtId="0" fontId="16" fillId="0" borderId="43" xfId="2620" applyBorder="1" applyAlignment="1">
      <alignment horizontal="center"/>
    </xf>
    <xf numFmtId="0" fontId="16" fillId="0" borderId="27" xfId="2620" applyBorder="1"/>
    <xf numFmtId="0" fontId="5" fillId="0" borderId="64" xfId="2620" applyFont="1" applyBorder="1" applyAlignment="1">
      <alignment horizontal="center" vertical="center" wrapText="1"/>
    </xf>
    <xf numFmtId="0" fontId="5" fillId="0" borderId="65" xfId="2620" applyFont="1" applyBorder="1" applyAlignment="1">
      <alignment horizontal="center" vertical="center" wrapText="1"/>
    </xf>
    <xf numFmtId="0" fontId="16" fillId="0" borderId="36" xfId="2620" applyFont="1" applyBorder="1" applyAlignment="1">
      <alignment horizontal="center"/>
    </xf>
    <xf numFmtId="0" fontId="16" fillId="0" borderId="40" xfId="2620" applyBorder="1"/>
    <xf numFmtId="0" fontId="12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4" xfId="0" applyFont="1" applyBorder="1" applyProtection="1">
      <protection locked="0"/>
    </xf>
    <xf numFmtId="169" fontId="45" fillId="0" borderId="0" xfId="604" applyNumberFormat="1" applyFont="1" applyFill="1" applyBorder="1" applyAlignment="1" applyProtection="1">
      <alignment horizontal="center"/>
      <protection locked="0"/>
    </xf>
    <xf numFmtId="4" fontId="29" fillId="81" borderId="4" xfId="0" applyNumberFormat="1" applyFont="1" applyFill="1" applyBorder="1" applyAlignment="1">
      <alignment horizontal="center" wrapText="1"/>
    </xf>
    <xf numFmtId="0" fontId="29" fillId="81" borderId="4" xfId="0" applyFont="1" applyFill="1" applyBorder="1" applyAlignment="1">
      <alignment wrapText="1"/>
    </xf>
    <xf numFmtId="0" fontId="8" fillId="0" borderId="4" xfId="0" applyFont="1" applyBorder="1"/>
    <xf numFmtId="0" fontId="32" fillId="0" borderId="0" xfId="0" applyFont="1" applyAlignment="1">
      <alignment horizontal="center"/>
    </xf>
    <xf numFmtId="0" fontId="32" fillId="0" borderId="0" xfId="0" applyFont="1" applyBorder="1" applyAlignment="1" applyProtection="1">
      <alignment horizontal="center" vertical="center" wrapText="1"/>
      <protection locked="0"/>
    </xf>
    <xf numFmtId="0" fontId="32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32" fillId="0" borderId="66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7" fillId="0" borderId="44" xfId="0" applyFont="1" applyBorder="1" applyAlignment="1" applyProtection="1">
      <alignment horizontal="left" vertical="center" wrapText="1" shrinkToFit="1"/>
    </xf>
    <xf numFmtId="0" fontId="32" fillId="0" borderId="0" xfId="0" applyFont="1" applyAlignment="1">
      <alignment horizontal="center" vertical="center" wrapText="1"/>
    </xf>
    <xf numFmtId="9" fontId="30" fillId="52" borderId="4" xfId="2664" applyFont="1" applyFill="1" applyBorder="1" applyAlignment="1" applyProtection="1">
      <alignment horizontal="center"/>
      <protection locked="0"/>
    </xf>
    <xf numFmtId="0" fontId="7" fillId="52" borderId="4" xfId="0" applyFont="1" applyFill="1" applyBorder="1" applyAlignment="1" applyProtection="1">
      <alignment horizontal="center"/>
      <protection locked="0"/>
    </xf>
    <xf numFmtId="3" fontId="29" fillId="52" borderId="4" xfId="0" applyNumberFormat="1" applyFont="1" applyFill="1" applyBorder="1" applyAlignment="1" applyProtection="1">
      <alignment horizontal="center" wrapText="1"/>
      <protection locked="0"/>
    </xf>
    <xf numFmtId="3" fontId="29" fillId="52" borderId="4" xfId="0" applyNumberFormat="1" applyFont="1" applyFill="1" applyBorder="1" applyAlignment="1" applyProtection="1">
      <alignment horizontal="center"/>
      <protection locked="0"/>
    </xf>
    <xf numFmtId="3" fontId="30" fillId="0" borderId="4" xfId="0" applyNumberFormat="1" applyFont="1" applyFill="1" applyBorder="1" applyAlignment="1">
      <alignment horizontal="center" wrapText="1"/>
    </xf>
    <xf numFmtId="0" fontId="7" fillId="72" borderId="4" xfId="0" applyFont="1" applyFill="1" applyBorder="1" applyAlignment="1">
      <alignment horizontal="center" wrapText="1"/>
    </xf>
    <xf numFmtId="0" fontId="7" fillId="72" borderId="4" xfId="0" applyFont="1" applyFill="1" applyBorder="1" applyAlignment="1">
      <alignment horizontal="center" vertical="center" wrapText="1"/>
    </xf>
    <xf numFmtId="0" fontId="8" fillId="72" borderId="4" xfId="0" applyFont="1" applyFill="1" applyBorder="1" applyAlignment="1">
      <alignment horizontal="center" wrapText="1"/>
    </xf>
    <xf numFmtId="3" fontId="29" fillId="72" borderId="4" xfId="0" applyNumberFormat="1" applyFont="1" applyFill="1" applyBorder="1" applyAlignment="1" applyProtection="1">
      <alignment horizontal="center" wrapText="1"/>
      <protection locked="0"/>
    </xf>
    <xf numFmtId="0" fontId="7" fillId="72" borderId="4" xfId="0" applyFont="1" applyFill="1" applyBorder="1" applyAlignment="1" applyProtection="1">
      <alignment horizontal="center" wrapText="1"/>
      <protection locked="0"/>
    </xf>
    <xf numFmtId="3" fontId="7" fillId="52" borderId="4" xfId="0" applyNumberFormat="1" applyFont="1" applyFill="1" applyBorder="1" applyAlignment="1" applyProtection="1">
      <alignment horizontal="center" wrapText="1"/>
      <protection locked="0"/>
    </xf>
    <xf numFmtId="3" fontId="7" fillId="72" borderId="4" xfId="0" applyNumberFormat="1" applyFont="1" applyFill="1" applyBorder="1" applyAlignment="1" applyProtection="1">
      <alignment horizontal="center" wrapText="1"/>
      <protection locked="0"/>
    </xf>
    <xf numFmtId="3" fontId="7" fillId="72" borderId="4" xfId="0" applyNumberFormat="1" applyFont="1" applyFill="1" applyBorder="1" applyAlignment="1">
      <alignment horizontal="center" wrapText="1"/>
    </xf>
    <xf numFmtId="4" fontId="7" fillId="52" borderId="4" xfId="0" applyNumberFormat="1" applyFont="1" applyFill="1" applyBorder="1" applyAlignment="1" applyProtection="1">
      <alignment horizontal="center" wrapText="1"/>
      <protection locked="0"/>
    </xf>
    <xf numFmtId="4" fontId="7" fillId="52" borderId="4" xfId="0" applyNumberFormat="1" applyFont="1" applyFill="1" applyBorder="1" applyAlignment="1" applyProtection="1">
      <alignment horizontal="center"/>
      <protection locked="0"/>
    </xf>
    <xf numFmtId="171" fontId="7" fillId="5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wrapText="1"/>
    </xf>
    <xf numFmtId="4" fontId="7" fillId="2" borderId="4" xfId="0" applyNumberFormat="1" applyFont="1" applyFill="1" applyBorder="1" applyAlignment="1" applyProtection="1">
      <alignment horizontal="center" wrapText="1"/>
      <protection locked="0"/>
    </xf>
    <xf numFmtId="0" fontId="29" fillId="2" borderId="4" xfId="0" applyFont="1" applyFill="1" applyBorder="1" applyAlignment="1">
      <alignment wrapText="1"/>
    </xf>
    <xf numFmtId="3" fontId="29" fillId="2" borderId="4" xfId="0" applyNumberFormat="1" applyFont="1" applyFill="1" applyBorder="1" applyAlignment="1" applyProtection="1">
      <alignment horizontal="center" wrapText="1"/>
      <protection locked="0"/>
    </xf>
    <xf numFmtId="3" fontId="29" fillId="2" borderId="4" xfId="0" applyNumberFormat="1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3" fontId="30" fillId="2" borderId="4" xfId="0" applyNumberFormat="1" applyFont="1" applyFill="1" applyBorder="1" applyAlignment="1" applyProtection="1">
      <alignment horizontal="center" wrapText="1"/>
      <protection locked="0"/>
    </xf>
    <xf numFmtId="3" fontId="30" fillId="2" borderId="4" xfId="0" applyNumberFormat="1" applyFont="1" applyFill="1" applyBorder="1" applyAlignment="1">
      <alignment horizontal="center" wrapText="1"/>
    </xf>
    <xf numFmtId="4" fontId="29" fillId="81" borderId="4" xfId="0" applyNumberFormat="1" applyFont="1" applyFill="1" applyBorder="1" applyAlignment="1" applyProtection="1">
      <alignment horizontal="center" wrapText="1"/>
      <protection locked="0"/>
    </xf>
    <xf numFmtId="4" fontId="29" fillId="72" borderId="4" xfId="0" applyNumberFormat="1" applyFont="1" applyFill="1" applyBorder="1" applyAlignment="1">
      <alignment horizontal="center" wrapText="1"/>
    </xf>
    <xf numFmtId="0" fontId="7" fillId="81" borderId="4" xfId="0" applyFont="1" applyFill="1" applyBorder="1" applyAlignment="1">
      <alignment horizontal="left" vertical="top" wrapText="1"/>
    </xf>
    <xf numFmtId="0" fontId="7" fillId="72" borderId="4" xfId="0" applyFont="1" applyFill="1" applyBorder="1" applyAlignment="1">
      <alignment horizontal="center"/>
    </xf>
    <xf numFmtId="0" fontId="7" fillId="72" borderId="4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9" fontId="7" fillId="52" borderId="4" xfId="2664" applyFont="1" applyFill="1" applyBorder="1" applyAlignment="1" applyProtection="1">
      <alignment horizontal="center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 shrinkToFit="1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 indent="2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4" fontId="12" fillId="52" borderId="4" xfId="0" applyNumberFormat="1" applyFont="1" applyFill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 hidden="1"/>
    </xf>
    <xf numFmtId="171" fontId="12" fillId="0" borderId="4" xfId="0" applyNumberFormat="1" applyFont="1" applyFill="1" applyBorder="1" applyAlignment="1" applyProtection="1">
      <alignment horizontal="center"/>
      <protection locked="0"/>
    </xf>
    <xf numFmtId="170" fontId="12" fillId="0" borderId="4" xfId="0" applyNumberFormat="1" applyFont="1" applyBorder="1" applyAlignment="1" applyProtection="1">
      <alignment horizontal="center"/>
      <protection locked="0"/>
    </xf>
    <xf numFmtId="170" fontId="12" fillId="0" borderId="4" xfId="0" applyNumberFormat="1" applyFont="1" applyFill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left" vertical="center" wrapText="1" indent="1"/>
      <protection locked="0"/>
    </xf>
    <xf numFmtId="0" fontId="7" fillId="52" borderId="4" xfId="0" applyFont="1" applyFill="1" applyBorder="1" applyProtection="1">
      <protection locked="0"/>
    </xf>
    <xf numFmtId="9" fontId="7" fillId="52" borderId="4" xfId="2664" applyFont="1" applyFill="1" applyBorder="1" applyProtection="1">
      <protection locked="0"/>
    </xf>
    <xf numFmtId="0" fontId="7" fillId="52" borderId="67" xfId="0" applyFont="1" applyFill="1" applyBorder="1" applyAlignment="1" applyProtection="1">
      <alignment horizontal="center" vertical="center"/>
      <protection locked="0"/>
    </xf>
    <xf numFmtId="0" fontId="7" fillId="52" borderId="48" xfId="0" applyFont="1" applyFill="1" applyBorder="1" applyAlignment="1" applyProtection="1">
      <alignment horizontal="center" vertical="center"/>
      <protection locked="0"/>
    </xf>
    <xf numFmtId="0" fontId="7" fillId="52" borderId="2" xfId="0" applyFont="1" applyFill="1" applyBorder="1" applyAlignment="1" applyProtection="1">
      <alignment horizontal="center" vertical="center"/>
      <protection locked="0"/>
    </xf>
    <xf numFmtId="0" fontId="7" fillId="52" borderId="46" xfId="0" applyFont="1" applyFill="1" applyBorder="1" applyAlignment="1" applyProtection="1">
      <alignment horizontal="center" vertical="center"/>
      <protection locked="0"/>
    </xf>
    <xf numFmtId="0" fontId="8" fillId="52" borderId="4" xfId="0" applyFont="1" applyFill="1" applyBorder="1" applyAlignment="1" applyProtection="1">
      <alignment horizontal="center" vertical="center" wrapText="1" shrinkToFit="1"/>
    </xf>
    <xf numFmtId="0" fontId="8" fillId="52" borderId="4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protection locked="0"/>
    </xf>
    <xf numFmtId="0" fontId="16" fillId="0" borderId="0" xfId="2617" applyFont="1"/>
    <xf numFmtId="0" fontId="8" fillId="0" borderId="0" xfId="652" applyFont="1" applyFill="1" applyBorder="1" applyProtection="1">
      <alignment horizontal="center" vertical="center" wrapText="1"/>
      <protection locked="0"/>
    </xf>
    <xf numFmtId="169" fontId="7" fillId="3" borderId="4" xfId="0" applyNumberFormat="1" applyFont="1" applyFill="1" applyBorder="1" applyProtection="1">
      <protection locked="0"/>
    </xf>
    <xf numFmtId="169" fontId="7" fillId="57" borderId="4" xfId="0" applyNumberFormat="1" applyFont="1" applyFill="1" applyBorder="1" applyProtection="1">
      <protection locked="0"/>
    </xf>
    <xf numFmtId="169" fontId="7" fillId="0" borderId="0" xfId="0" applyNumberFormat="1" applyFont="1" applyFill="1" applyBorder="1" applyProtection="1">
      <protection locked="0"/>
    </xf>
    <xf numFmtId="169" fontId="7" fillId="0" borderId="0" xfId="604" applyNumberFormat="1" applyFont="1" applyFill="1" applyBorder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8" fillId="0" borderId="4" xfId="652" applyFont="1" applyBorder="1" applyProtection="1">
      <alignment horizontal="center" vertical="center" wrapText="1"/>
      <protection locked="0"/>
    </xf>
    <xf numFmtId="0" fontId="16" fillId="0" borderId="0" xfId="2617" applyFont="1" applyFill="1" applyBorder="1"/>
    <xf numFmtId="0" fontId="7" fillId="0" borderId="4" xfId="0" applyFont="1" applyBorder="1" applyAlignment="1" applyProtection="1">
      <alignment wrapText="1"/>
      <protection locked="0"/>
    </xf>
    <xf numFmtId="169" fontId="7" fillId="0" borderId="0" xfId="0" applyNumberFormat="1" applyFont="1" applyFill="1" applyBorder="1" applyAlignment="1" applyProtection="1">
      <protection locked="0"/>
    </xf>
    <xf numFmtId="0" fontId="16" fillId="0" borderId="0" xfId="2617" applyFont="1" applyAlignment="1">
      <alignment wrapText="1"/>
    </xf>
    <xf numFmtId="169" fontId="7" fillId="3" borderId="4" xfId="0" applyNumberFormat="1" applyFont="1" applyFill="1" applyBorder="1" applyProtection="1"/>
    <xf numFmtId="169" fontId="15" fillId="72" borderId="0" xfId="604" applyNumberFormat="1" applyFont="1" applyFill="1" applyBorder="1" applyAlignment="1" applyProtection="1">
      <alignment horizontal="center"/>
      <protection locked="0"/>
    </xf>
    <xf numFmtId="0" fontId="8" fillId="72" borderId="0" xfId="652" applyFont="1" applyFill="1" applyBorder="1" applyProtection="1">
      <alignment horizontal="center" vertical="center" wrapText="1"/>
      <protection locked="0"/>
    </xf>
    <xf numFmtId="169" fontId="7" fillId="72" borderId="0" xfId="0" applyNumberFormat="1" applyFont="1" applyFill="1" applyBorder="1" applyProtection="1">
      <protection locked="0"/>
    </xf>
    <xf numFmtId="169" fontId="7" fillId="72" borderId="0" xfId="604" applyNumberFormat="1" applyFont="1" applyFill="1" applyBorder="1" applyAlignment="1" applyProtection="1">
      <alignment horizontal="right"/>
      <protection locked="0"/>
    </xf>
    <xf numFmtId="0" fontId="7" fillId="72" borderId="0" xfId="0" applyFont="1" applyFill="1" applyBorder="1" applyProtection="1">
      <protection locked="0"/>
    </xf>
    <xf numFmtId="169" fontId="7" fillId="72" borderId="0" xfId="0" applyNumberFormat="1" applyFont="1" applyFill="1" applyBorder="1" applyProtection="1"/>
    <xf numFmtId="0" fontId="16" fillId="72" borderId="0" xfId="2617" applyFill="1" applyBorder="1"/>
    <xf numFmtId="169" fontId="7" fillId="3" borderId="4" xfId="604" applyNumberFormat="1" applyFont="1" applyFill="1" applyBorder="1" applyAlignment="1" applyProtection="1">
      <alignment horizontal="right"/>
      <protection locked="0"/>
    </xf>
    <xf numFmtId="0" fontId="48" fillId="0" borderId="4" xfId="652" applyFont="1" applyBorder="1" applyProtection="1">
      <alignment horizontal="center" vertical="center" wrapText="1"/>
      <protection locked="0"/>
    </xf>
    <xf numFmtId="169" fontId="15" fillId="72" borderId="4" xfId="604" applyNumberFormat="1" applyFont="1" applyFill="1" applyBorder="1" applyAlignment="1" applyProtection="1">
      <alignment horizontal="center"/>
      <protection locked="0"/>
    </xf>
    <xf numFmtId="169" fontId="7" fillId="72" borderId="4" xfId="0" applyNumberFormat="1" applyFont="1" applyFill="1" applyBorder="1" applyProtection="1">
      <protection locked="0"/>
    </xf>
    <xf numFmtId="3" fontId="8" fillId="72" borderId="4" xfId="0" applyNumberFormat="1" applyFont="1" applyFill="1" applyBorder="1" applyAlignment="1" applyProtection="1">
      <alignment horizontal="center" wrapText="1"/>
      <protection locked="0"/>
    </xf>
    <xf numFmtId="3" fontId="29" fillId="72" borderId="4" xfId="0" applyNumberFormat="1" applyFont="1" applyFill="1" applyBorder="1" applyAlignment="1" applyProtection="1">
      <alignment horizontal="center"/>
    </xf>
    <xf numFmtId="171" fontId="8" fillId="72" borderId="4" xfId="0" applyNumberFormat="1" applyFont="1" applyFill="1" applyBorder="1" applyAlignment="1" applyProtection="1">
      <alignment horizontal="center" wrapText="1"/>
      <protection locked="0"/>
    </xf>
    <xf numFmtId="1" fontId="16" fillId="0" borderId="0" xfId="2617" applyNumberFormat="1"/>
    <xf numFmtId="3" fontId="29" fillId="73" borderId="4" xfId="0" applyNumberFormat="1" applyFont="1" applyFill="1" applyBorder="1" applyAlignment="1" applyProtection="1">
      <alignment horizontal="center"/>
    </xf>
    <xf numFmtId="0" fontId="7" fillId="0" borderId="26" xfId="0" applyFont="1" applyBorder="1" applyProtection="1"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49" fontId="8" fillId="0" borderId="4" xfId="0" applyNumberFormat="1" applyFont="1" applyBorder="1" applyAlignment="1" applyProtection="1">
      <alignment wrapText="1"/>
      <protection locked="0"/>
    </xf>
    <xf numFmtId="0" fontId="7" fillId="72" borderId="4" xfId="0" applyFont="1" applyFill="1" applyBorder="1" applyProtection="1">
      <protection locked="0"/>
    </xf>
    <xf numFmtId="0" fontId="45" fillId="72" borderId="4" xfId="604" applyFont="1" applyFill="1" applyBorder="1" applyAlignment="1" applyProtection="1">
      <alignment horizontal="center"/>
      <protection locked="0"/>
    </xf>
    <xf numFmtId="0" fontId="7" fillId="0" borderId="4" xfId="604" applyFont="1" applyFill="1" applyBorder="1" applyAlignment="1" applyProtection="1">
      <alignment horizontal="center"/>
      <protection locked="0"/>
    </xf>
    <xf numFmtId="0" fontId="7" fillId="0" borderId="4" xfId="604" applyFont="1" applyFill="1" applyBorder="1" applyAlignment="1" applyProtection="1">
      <alignment horizontal="left"/>
      <protection locked="0"/>
    </xf>
    <xf numFmtId="0" fontId="7" fillId="0" borderId="27" xfId="0" applyFont="1" applyBorder="1" applyProtection="1"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7" fillId="0" borderId="4" xfId="604" applyFont="1" applyFill="1" applyBorder="1" applyAlignment="1" applyProtection="1">
      <alignment horizontal="center" wrapText="1"/>
      <protection locked="0"/>
    </xf>
    <xf numFmtId="0" fontId="7" fillId="0" borderId="4" xfId="604" applyFont="1" applyFill="1" applyBorder="1" applyAlignment="1" applyProtection="1">
      <alignment horizontal="left" wrapText="1"/>
      <protection locked="0"/>
    </xf>
    <xf numFmtId="0" fontId="8" fillId="52" borderId="4" xfId="0" applyFont="1" applyFill="1" applyBorder="1" applyAlignment="1" applyProtection="1">
      <alignment horizontal="center" wrapText="1"/>
      <protection locked="0"/>
    </xf>
    <xf numFmtId="173" fontId="8" fillId="52" borderId="4" xfId="0" applyNumberFormat="1" applyFont="1" applyFill="1" applyBorder="1" applyAlignment="1" applyProtection="1">
      <alignment horizontal="center" wrapText="1"/>
      <protection locked="0"/>
    </xf>
    <xf numFmtId="166" fontId="8" fillId="52" borderId="4" xfId="0" applyNumberFormat="1" applyFont="1" applyFill="1" applyBorder="1" applyAlignment="1" applyProtection="1">
      <alignment horizontal="center"/>
      <protection locked="0"/>
    </xf>
    <xf numFmtId="171" fontId="8" fillId="52" borderId="4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36" fillId="0" borderId="0" xfId="0" applyFont="1"/>
    <xf numFmtId="0" fontId="49" fillId="0" borderId="0" xfId="0" applyFont="1" applyAlignment="1">
      <alignment horizontal="center" vertical="center" wrapText="1"/>
    </xf>
    <xf numFmtId="0" fontId="7" fillId="0" borderId="0" xfId="0" applyFont="1" applyBorder="1" applyProtection="1"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4" fontId="7" fillId="52" borderId="4" xfId="0" applyNumberFormat="1" applyFont="1" applyFill="1" applyBorder="1" applyAlignment="1" applyProtection="1">
      <alignment horizontal="center" vertical="center"/>
    </xf>
    <xf numFmtId="4" fontId="7" fillId="72" borderId="4" xfId="0" applyNumberFormat="1" applyFont="1" applyFill="1" applyBorder="1" applyAlignment="1" applyProtection="1">
      <alignment horizontal="center" vertical="center"/>
    </xf>
    <xf numFmtId="4" fontId="7" fillId="7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 wrapText="1" shrinkToFit="1"/>
    </xf>
    <xf numFmtId="49" fontId="7" fillId="0" borderId="4" xfId="0" applyNumberFormat="1" applyFont="1" applyBorder="1" applyAlignment="1" applyProtection="1">
      <alignment horizontal="center" vertical="center" wrapText="1" shrinkToFit="1"/>
    </xf>
    <xf numFmtId="0" fontId="8" fillId="0" borderId="4" xfId="0" applyFont="1" applyFill="1" applyBorder="1" applyAlignment="1" applyProtection="1">
      <alignment horizontal="left" vertical="center" wrapText="1" shrinkToFit="1"/>
    </xf>
    <xf numFmtId="4" fontId="8" fillId="72" borderId="4" xfId="0" applyNumberFormat="1" applyFont="1" applyFill="1" applyBorder="1" applyAlignment="1" applyProtection="1">
      <alignment horizontal="center" vertical="center"/>
    </xf>
    <xf numFmtId="0" fontId="8" fillId="0" borderId="4" xfId="2619" applyFont="1" applyFill="1" applyBorder="1" applyAlignment="1">
      <alignment horizontal="center" vertical="center" wrapText="1"/>
    </xf>
    <xf numFmtId="0" fontId="49" fillId="0" borderId="4" xfId="2619" applyFont="1" applyFill="1" applyBorder="1" applyAlignment="1">
      <alignment horizontal="center" vertical="center" wrapText="1"/>
    </xf>
    <xf numFmtId="0" fontId="8" fillId="3" borderId="4" xfId="2619" applyFont="1" applyFill="1" applyBorder="1" applyAlignment="1">
      <alignment vertical="center" wrapText="1"/>
    </xf>
    <xf numFmtId="0" fontId="7" fillId="0" borderId="4" xfId="2619" applyFont="1" applyFill="1" applyBorder="1"/>
    <xf numFmtId="4" fontId="7" fillId="73" borderId="4" xfId="2619" applyNumberFormat="1" applyFont="1" applyFill="1" applyBorder="1" applyAlignment="1" applyProtection="1">
      <alignment horizontal="right" vertical="center"/>
      <protection locked="0"/>
    </xf>
    <xf numFmtId="4" fontId="7" fillId="73" borderId="4" xfId="2619" applyNumberFormat="1" applyFont="1" applyFill="1" applyBorder="1" applyAlignment="1" applyProtection="1">
      <alignment horizontal="right" vertical="center" wrapText="1"/>
      <protection locked="0"/>
    </xf>
    <xf numFmtId="4" fontId="7" fillId="0" borderId="4" xfId="2619" applyNumberFormat="1" applyFont="1" applyFill="1" applyBorder="1" applyAlignment="1">
      <alignment horizontal="right" vertical="center" wrapText="1"/>
    </xf>
    <xf numFmtId="4" fontId="7" fillId="0" borderId="4" xfId="2619" applyNumberFormat="1" applyFont="1" applyFill="1" applyBorder="1" applyAlignment="1">
      <alignment horizontal="center" vertical="center"/>
    </xf>
    <xf numFmtId="0" fontId="8" fillId="0" borderId="4" xfId="2619" applyFont="1" applyFill="1" applyBorder="1"/>
    <xf numFmtId="4" fontId="8" fillId="0" borderId="4" xfId="2619" applyNumberFormat="1" applyFont="1" applyFill="1" applyBorder="1" applyAlignment="1">
      <alignment horizontal="right" vertical="center"/>
    </xf>
    <xf numFmtId="170" fontId="8" fillId="0" borderId="4" xfId="2619" applyNumberFormat="1" applyFont="1" applyFill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 wrapText="1" shrinkToFit="1"/>
    </xf>
    <xf numFmtId="0" fontId="9" fillId="0" borderId="4" xfId="0" applyFont="1" applyFill="1" applyBorder="1" applyAlignment="1" applyProtection="1">
      <alignment horizontal="center" vertical="center" wrapText="1" shrinkToFit="1"/>
    </xf>
    <xf numFmtId="0" fontId="9" fillId="0" borderId="4" xfId="0" applyFont="1" applyBorder="1" applyAlignment="1" applyProtection="1">
      <alignment horizontal="center" vertical="center"/>
      <protection locked="0"/>
    </xf>
    <xf numFmtId="49" fontId="7" fillId="0" borderId="4" xfId="0" applyNumberFormat="1" applyFont="1" applyBorder="1" applyAlignment="1" applyProtection="1">
      <alignment horizontal="left" vertical="center" wrapText="1" shrinkToFit="1"/>
    </xf>
    <xf numFmtId="11" fontId="7" fillId="0" borderId="4" xfId="0" applyNumberFormat="1" applyFont="1" applyBorder="1" applyAlignment="1" applyProtection="1">
      <alignment horizontal="left" vertical="center" wrapText="1" shrinkToFit="1"/>
    </xf>
    <xf numFmtId="4" fontId="7" fillId="52" borderId="4" xfId="0" applyNumberFormat="1" applyFont="1" applyFill="1" applyBorder="1" applyAlignment="1" applyProtection="1">
      <alignment horizontal="center" vertical="center"/>
      <protection locked="0"/>
    </xf>
    <xf numFmtId="10" fontId="7" fillId="72" borderId="4" xfId="2619" applyNumberFormat="1" applyFont="1" applyFill="1" applyBorder="1" applyAlignment="1" applyProtection="1">
      <alignment horizontal="center" vertical="center" wrapText="1"/>
    </xf>
    <xf numFmtId="4" fontId="7" fillId="52" borderId="4" xfId="2619" applyNumberFormat="1" applyFont="1" applyFill="1" applyBorder="1" applyAlignment="1" applyProtection="1">
      <alignment horizontal="center" vertical="center"/>
      <protection locked="0"/>
    </xf>
    <xf numFmtId="4" fontId="7" fillId="52" borderId="4" xfId="2619" applyNumberFormat="1" applyFont="1" applyFill="1" applyBorder="1" applyAlignment="1" applyProtection="1">
      <alignment horizontal="center" vertical="center" wrapText="1"/>
      <protection locked="0"/>
    </xf>
    <xf numFmtId="10" fontId="7" fillId="52" borderId="4" xfId="2619" applyNumberFormat="1" applyFont="1" applyFill="1" applyBorder="1" applyAlignment="1" applyProtection="1">
      <alignment horizontal="center" vertical="center" wrapText="1"/>
      <protection locked="0"/>
    </xf>
    <xf numFmtId="2" fontId="7" fillId="52" borderId="4" xfId="0" applyNumberFormat="1" applyFont="1" applyFill="1" applyBorder="1" applyAlignment="1">
      <alignment horizontal="center" vertical="center"/>
    </xf>
    <xf numFmtId="4" fontId="7" fillId="72" borderId="4" xfId="2619" applyNumberFormat="1" applyFont="1" applyFill="1" applyBorder="1" applyAlignment="1" applyProtection="1">
      <alignment horizontal="center" vertical="center"/>
    </xf>
    <xf numFmtId="4" fontId="8" fillId="72" borderId="4" xfId="2619" applyNumberFormat="1" applyFont="1" applyFill="1" applyBorder="1" applyAlignment="1" applyProtection="1">
      <alignment horizontal="center" vertical="center"/>
    </xf>
    <xf numFmtId="4" fontId="8" fillId="72" borderId="4" xfId="2619" applyNumberFormat="1" applyFont="1" applyFill="1" applyBorder="1" applyAlignment="1">
      <alignment horizontal="center" vertical="center"/>
    </xf>
    <xf numFmtId="0" fontId="7" fillId="72" borderId="4" xfId="0" applyFont="1" applyFill="1" applyBorder="1" applyAlignment="1">
      <alignment horizontal="center" vertical="center"/>
    </xf>
    <xf numFmtId="0" fontId="14" fillId="0" borderId="4" xfId="0" applyFont="1" applyBorder="1"/>
    <xf numFmtId="49" fontId="7" fillId="0" borderId="4" xfId="0" applyNumberFormat="1" applyFont="1" applyFill="1" applyBorder="1" applyAlignment="1" applyProtection="1">
      <alignment horizontal="center" vertical="center" wrapText="1" shrinkToFit="1"/>
    </xf>
    <xf numFmtId="49" fontId="7" fillId="0" borderId="4" xfId="0" applyNumberFormat="1" applyFont="1" applyFill="1" applyBorder="1" applyAlignment="1" applyProtection="1">
      <alignment horizontal="left" vertical="center" wrapText="1" shrinkToFit="1"/>
    </xf>
    <xf numFmtId="10" fontId="7" fillId="52" borderId="4" xfId="0" applyNumberFormat="1" applyFont="1" applyFill="1" applyBorder="1" applyAlignment="1" applyProtection="1">
      <alignment horizontal="center" vertical="center"/>
      <protection locked="0"/>
    </xf>
    <xf numFmtId="4" fontId="7" fillId="52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 applyProtection="1">
      <alignment horizontal="center" vertical="center" wrapText="1" shrinkToFit="1"/>
    </xf>
    <xf numFmtId="49" fontId="8" fillId="0" borderId="4" xfId="0" applyNumberFormat="1" applyFont="1" applyFill="1" applyBorder="1" applyAlignment="1" applyProtection="1">
      <alignment horizontal="left" vertical="center" wrapText="1" shrinkToFit="1"/>
    </xf>
    <xf numFmtId="2" fontId="8" fillId="72" borderId="4" xfId="0" applyNumberFormat="1" applyFont="1" applyFill="1" applyBorder="1" applyAlignment="1">
      <alignment horizontal="center" vertical="center"/>
    </xf>
    <xf numFmtId="0" fontId="47" fillId="0" borderId="4" xfId="0" applyFont="1" applyBorder="1"/>
    <xf numFmtId="172" fontId="7" fillId="52" borderId="4" xfId="0" applyNumberFormat="1" applyFont="1" applyFill="1" applyBorder="1" applyAlignment="1" applyProtection="1">
      <alignment horizontal="center" vertical="center"/>
      <protection locked="0"/>
    </xf>
    <xf numFmtId="167" fontId="7" fillId="72" borderId="4" xfId="0" applyNumberFormat="1" applyFont="1" applyFill="1" applyBorder="1" applyAlignment="1" applyProtection="1">
      <alignment horizontal="center" vertical="center"/>
    </xf>
    <xf numFmtId="167" fontId="7" fillId="72" borderId="4" xfId="0" applyNumberFormat="1" applyFont="1" applyFill="1" applyBorder="1" applyAlignment="1" applyProtection="1">
      <alignment horizontal="center" vertical="center"/>
      <protection locked="0"/>
    </xf>
    <xf numFmtId="49" fontId="7" fillId="5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82" borderId="4" xfId="0" applyNumberFormat="1" applyFont="1" applyFill="1" applyBorder="1" applyAlignment="1">
      <alignment horizontal="center" vertical="center" wrapText="1"/>
    </xf>
    <xf numFmtId="1" fontId="7" fillId="82" borderId="4" xfId="0" applyNumberFormat="1" applyFont="1" applyFill="1" applyBorder="1" applyAlignment="1">
      <alignment horizontal="left" vertical="center" wrapText="1"/>
    </xf>
    <xf numFmtId="14" fontId="7" fillId="82" borderId="4" xfId="0" applyNumberFormat="1" applyFont="1" applyFill="1" applyBorder="1" applyAlignment="1">
      <alignment horizontal="left" vertical="center" wrapText="1"/>
    </xf>
    <xf numFmtId="0" fontId="30" fillId="82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vertical="center" wrapText="1"/>
    </xf>
    <xf numFmtId="0" fontId="30" fillId="72" borderId="4" xfId="0" applyFont="1" applyFill="1" applyBorder="1" applyAlignment="1">
      <alignment horizontal="center" vertical="center" wrapText="1"/>
    </xf>
    <xf numFmtId="49" fontId="7" fillId="72" borderId="4" xfId="0" applyNumberFormat="1" applyFont="1" applyFill="1" applyBorder="1" applyAlignment="1">
      <alignment vertical="center" wrapText="1"/>
    </xf>
    <xf numFmtId="49" fontId="7" fillId="52" borderId="4" xfId="0" applyNumberFormat="1" applyFont="1" applyFill="1" applyBorder="1" applyAlignment="1">
      <alignment vertical="center" wrapText="1"/>
    </xf>
    <xf numFmtId="0" fontId="32" fillId="0" borderId="0" xfId="0" applyFont="1" applyBorder="1" applyAlignment="1" applyProtection="1">
      <alignment horizontal="left" vertical="center"/>
      <protection locked="0"/>
    </xf>
    <xf numFmtId="0" fontId="57" fillId="0" borderId="0" xfId="0" applyFont="1"/>
    <xf numFmtId="0" fontId="58" fillId="0" borderId="0" xfId="0" applyFont="1"/>
    <xf numFmtId="49" fontId="33" fillId="72" borderId="4" xfId="0" applyNumberFormat="1" applyFont="1" applyFill="1" applyBorder="1" applyAlignment="1">
      <alignment horizontal="center" vertical="center" wrapText="1"/>
    </xf>
    <xf numFmtId="0" fontId="33" fillId="72" borderId="4" xfId="0" applyFont="1" applyFill="1" applyBorder="1" applyAlignment="1">
      <alignment horizontal="center" vertical="center" wrapText="1"/>
    </xf>
    <xf numFmtId="1" fontId="32" fillId="72" borderId="4" xfId="0" applyNumberFormat="1" applyFont="1" applyFill="1" applyBorder="1" applyAlignment="1">
      <alignment horizontal="left" vertical="center" wrapText="1"/>
    </xf>
    <xf numFmtId="49" fontId="32" fillId="72" borderId="4" xfId="0" applyNumberFormat="1" applyFont="1" applyFill="1" applyBorder="1" applyAlignment="1">
      <alignment vertical="center" wrapText="1"/>
    </xf>
    <xf numFmtId="14" fontId="32" fillId="72" borderId="4" xfId="0" applyNumberFormat="1" applyFont="1" applyFill="1" applyBorder="1" applyAlignment="1">
      <alignment horizontal="left" vertical="center" wrapText="1"/>
    </xf>
    <xf numFmtId="170" fontId="33" fillId="72" borderId="4" xfId="0" applyNumberFormat="1" applyFont="1" applyFill="1" applyBorder="1" applyAlignment="1">
      <alignment horizontal="center" vertical="center"/>
    </xf>
    <xf numFmtId="170" fontId="33" fillId="72" borderId="4" xfId="2664" applyNumberFormat="1" applyFont="1" applyFill="1" applyBorder="1" applyAlignment="1">
      <alignment horizontal="center" vertical="center"/>
    </xf>
    <xf numFmtId="170" fontId="32" fillId="72" borderId="4" xfId="0" applyNumberFormat="1" applyFont="1" applyFill="1" applyBorder="1" applyAlignment="1">
      <alignment vertical="center" wrapText="1"/>
    </xf>
    <xf numFmtId="0" fontId="31" fillId="0" borderId="68" xfId="0" applyNumberFormat="1" applyFont="1" applyBorder="1" applyAlignment="1">
      <alignment horizontal="center" vertical="center" wrapText="1"/>
    </xf>
    <xf numFmtId="0" fontId="33" fillId="0" borderId="68" xfId="0" applyNumberFormat="1" applyFont="1" applyBorder="1" applyAlignment="1">
      <alignment horizontal="left" vertical="center"/>
    </xf>
    <xf numFmtId="0" fontId="57" fillId="0" borderId="68" xfId="0" applyFont="1" applyBorder="1"/>
    <xf numFmtId="49" fontId="31" fillId="0" borderId="68" xfId="0" applyNumberFormat="1" applyFont="1" applyBorder="1" applyAlignment="1">
      <alignment horizontal="center" vertical="center" wrapText="1"/>
    </xf>
    <xf numFmtId="3" fontId="32" fillId="52" borderId="0" xfId="0" applyNumberFormat="1" applyFont="1" applyFill="1" applyAlignment="1">
      <alignment vertical="center"/>
    </xf>
    <xf numFmtId="3" fontId="32" fillId="72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7" fillId="72" borderId="4" xfId="0" applyFont="1" applyFill="1" applyBorder="1" applyAlignment="1">
      <alignment vertical="center"/>
    </xf>
    <xf numFmtId="0" fontId="32" fillId="72" borderId="4" xfId="0" applyFont="1" applyFill="1" applyBorder="1" applyAlignment="1">
      <alignment vertical="center"/>
    </xf>
    <xf numFmtId="0" fontId="7" fillId="72" borderId="4" xfId="0" applyFont="1" applyFill="1" applyBorder="1" applyAlignment="1">
      <alignment horizontal="right" vertical="center"/>
    </xf>
    <xf numFmtId="3" fontId="7" fillId="72" borderId="4" xfId="0" applyNumberFormat="1" applyFont="1" applyFill="1" applyBorder="1" applyAlignment="1">
      <alignment horizontal="center" vertical="center"/>
    </xf>
    <xf numFmtId="3" fontId="7" fillId="72" borderId="4" xfId="0" applyNumberFormat="1" applyFont="1" applyFill="1" applyBorder="1" applyAlignment="1">
      <alignment horizontal="center" vertical="center" wrapText="1"/>
    </xf>
    <xf numFmtId="0" fontId="59" fillId="72" borderId="4" xfId="2616" applyFont="1" applyFill="1" applyBorder="1" applyAlignment="1" applyProtection="1">
      <alignment horizontal="center" vertical="center" wrapText="1"/>
    </xf>
    <xf numFmtId="0" fontId="8" fillId="72" borderId="4" xfId="2616" applyFont="1" applyFill="1" applyBorder="1" applyAlignment="1" applyProtection="1">
      <alignment horizontal="left" vertical="center" wrapText="1"/>
    </xf>
    <xf numFmtId="0" fontId="59" fillId="72" borderId="4" xfId="2616" applyFont="1" applyFill="1" applyBorder="1" applyAlignment="1" applyProtection="1">
      <alignment horizontal="center"/>
    </xf>
    <xf numFmtId="0" fontId="59" fillId="72" borderId="4" xfId="2616" applyFont="1" applyFill="1" applyBorder="1" applyAlignment="1" applyProtection="1">
      <alignment vertical="center" wrapText="1"/>
    </xf>
    <xf numFmtId="2" fontId="59" fillId="72" borderId="4" xfId="2616" applyNumberFormat="1" applyFont="1" applyFill="1" applyBorder="1" applyAlignment="1" applyProtection="1">
      <alignment horizontal="center" vertical="center" wrapText="1"/>
    </xf>
    <xf numFmtId="4" fontId="8" fillId="72" borderId="4" xfId="0" applyNumberFormat="1" applyFont="1" applyFill="1" applyBorder="1" applyAlignment="1">
      <alignment vertical="center"/>
    </xf>
    <xf numFmtId="9" fontId="8" fillId="72" borderId="4" xfId="2667" applyFont="1" applyFill="1" applyBorder="1" applyAlignment="1">
      <alignment horizontal="center" vertical="center"/>
    </xf>
    <xf numFmtId="0" fontId="60" fillId="72" borderId="4" xfId="2616" applyFont="1" applyFill="1" applyBorder="1" applyAlignment="1" applyProtection="1">
      <alignment horizontal="center" vertical="center" wrapText="1"/>
    </xf>
    <xf numFmtId="0" fontId="60" fillId="72" borderId="4" xfId="2616" applyFont="1" applyFill="1" applyBorder="1" applyAlignment="1" applyProtection="1">
      <alignment vertical="center" wrapText="1"/>
    </xf>
    <xf numFmtId="2" fontId="60" fillId="52" borderId="4" xfId="2616" applyNumberFormat="1" applyFont="1" applyFill="1" applyBorder="1" applyAlignment="1" applyProtection="1">
      <alignment horizontal="center" vertical="center" wrapText="1"/>
    </xf>
    <xf numFmtId="4" fontId="7" fillId="72" borderId="4" xfId="0" applyNumberFormat="1" applyFont="1" applyFill="1" applyBorder="1" applyAlignment="1">
      <alignment vertical="center"/>
    </xf>
    <xf numFmtId="9" fontId="7" fillId="72" borderId="4" xfId="2667" applyFont="1" applyFill="1" applyBorder="1" applyAlignment="1">
      <alignment horizontal="center" vertical="center"/>
    </xf>
    <xf numFmtId="0" fontId="60" fillId="72" borderId="4" xfId="2616" applyFont="1" applyFill="1" applyBorder="1" applyAlignment="1" applyProtection="1">
      <alignment horizontal="left" vertical="center" wrapText="1" indent="1"/>
    </xf>
    <xf numFmtId="2" fontId="7" fillId="72" borderId="4" xfId="0" applyNumberFormat="1" applyFont="1" applyFill="1" applyBorder="1" applyAlignment="1">
      <alignment horizontal="center" vertical="center"/>
    </xf>
    <xf numFmtId="0" fontId="60" fillId="72" borderId="4" xfId="2616" applyFont="1" applyFill="1" applyBorder="1" applyAlignment="1" applyProtection="1">
      <alignment horizontal="center" vertical="center"/>
    </xf>
    <xf numFmtId="10" fontId="60" fillId="72" borderId="4" xfId="2667" applyNumberFormat="1" applyFont="1" applyFill="1" applyBorder="1" applyAlignment="1" applyProtection="1">
      <alignment horizontal="center" vertical="center"/>
    </xf>
    <xf numFmtId="10" fontId="7" fillId="72" borderId="4" xfId="2667" applyNumberFormat="1" applyFont="1" applyFill="1" applyBorder="1" applyAlignment="1">
      <alignment vertical="center"/>
    </xf>
    <xf numFmtId="49" fontId="60" fillId="72" borderId="4" xfId="2616" applyNumberFormat="1" applyFont="1" applyFill="1" applyBorder="1" applyAlignment="1" applyProtection="1">
      <alignment horizontal="center" vertical="center" wrapText="1"/>
    </xf>
    <xf numFmtId="9" fontId="60" fillId="72" borderId="4" xfId="2667" applyFont="1" applyFill="1" applyBorder="1" applyAlignment="1" applyProtection="1">
      <alignment horizontal="center" vertical="center" wrapText="1"/>
    </xf>
    <xf numFmtId="0" fontId="59" fillId="72" borderId="4" xfId="2616" applyFont="1" applyFill="1" applyBorder="1" applyAlignment="1" applyProtection="1">
      <alignment horizontal="center" vertical="center"/>
    </xf>
    <xf numFmtId="4" fontId="59" fillId="72" borderId="4" xfId="2616" applyNumberFormat="1" applyFont="1" applyFill="1" applyBorder="1" applyAlignment="1" applyProtection="1">
      <alignment horizontal="center" vertical="center" wrapText="1"/>
    </xf>
    <xf numFmtId="16" fontId="60" fillId="72" borderId="4" xfId="2616" applyNumberFormat="1" applyFont="1" applyFill="1" applyBorder="1" applyAlignment="1" applyProtection="1">
      <alignment horizontal="center" vertical="center" wrapText="1"/>
    </xf>
    <xf numFmtId="4" fontId="60" fillId="52" borderId="4" xfId="2616" applyNumberFormat="1" applyFont="1" applyFill="1" applyBorder="1" applyAlignment="1" applyProtection="1">
      <alignment horizontal="center" vertical="center" wrapText="1"/>
    </xf>
    <xf numFmtId="4" fontId="60" fillId="72" borderId="4" xfId="2616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49" fontId="7" fillId="0" borderId="4" xfId="2621" applyNumberFormat="1" applyFont="1" applyBorder="1" applyAlignment="1"/>
    <xf numFmtId="49" fontId="7" fillId="0" borderId="26" xfId="2621" applyNumberFormat="1" applyFont="1" applyBorder="1"/>
    <xf numFmtId="0" fontId="8" fillId="0" borderId="26" xfId="0" applyFont="1" applyBorder="1" applyAlignment="1">
      <alignment wrapText="1"/>
    </xf>
    <xf numFmtId="49" fontId="7" fillId="0" borderId="68" xfId="2621" applyNumberFormat="1" applyFont="1" applyBorder="1"/>
    <xf numFmtId="0" fontId="8" fillId="0" borderId="68" xfId="0" applyFont="1" applyBorder="1"/>
    <xf numFmtId="0" fontId="7" fillId="0" borderId="68" xfId="0" applyFont="1" applyBorder="1" applyAlignment="1" applyProtection="1">
      <alignment horizontal="center" wrapText="1"/>
      <protection locked="0"/>
    </xf>
    <xf numFmtId="0" fontId="7" fillId="0" borderId="68" xfId="0" applyFont="1" applyBorder="1" applyAlignment="1">
      <alignment horizontal="center"/>
    </xf>
    <xf numFmtId="0" fontId="7" fillId="0" borderId="68" xfId="0" applyFont="1" applyFill="1" applyBorder="1" applyAlignment="1">
      <alignment horizontal="center"/>
    </xf>
    <xf numFmtId="49" fontId="7" fillId="0" borderId="0" xfId="0" applyNumberFormat="1" applyFont="1" applyFill="1" applyBorder="1"/>
    <xf numFmtId="0" fontId="7" fillId="0" borderId="0" xfId="0" applyFont="1" applyFill="1" applyBorder="1" applyProtection="1">
      <protection locked="0"/>
    </xf>
    <xf numFmtId="49" fontId="7" fillId="0" borderId="4" xfId="0" applyNumberFormat="1" applyFont="1" applyBorder="1"/>
    <xf numFmtId="168" fontId="7" fillId="52" borderId="4" xfId="2664" applyNumberFormat="1" applyFont="1" applyFill="1" applyBorder="1" applyProtection="1">
      <protection locked="0"/>
    </xf>
    <xf numFmtId="49" fontId="7" fillId="0" borderId="4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center" vertical="center"/>
    </xf>
    <xf numFmtId="0" fontId="7" fillId="52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justify"/>
    </xf>
    <xf numFmtId="0" fontId="7" fillId="52" borderId="4" xfId="0" applyFont="1" applyFill="1" applyBorder="1"/>
    <xf numFmtId="0" fontId="7" fillId="0" borderId="4" xfId="0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14" fontId="7" fillId="0" borderId="4" xfId="0" applyNumberFormat="1" applyFont="1" applyBorder="1" applyAlignment="1">
      <alignment horizontal="right"/>
    </xf>
    <xf numFmtId="0" fontId="8" fillId="0" borderId="0" xfId="0" applyFont="1"/>
    <xf numFmtId="0" fontId="32" fillId="0" borderId="4" xfId="0" applyFont="1" applyBorder="1"/>
    <xf numFmtId="2" fontId="32" fillId="0" borderId="4" xfId="0" applyNumberFormat="1" applyFont="1" applyBorder="1"/>
    <xf numFmtId="0" fontId="38" fillId="0" borderId="0" xfId="0" applyFont="1" applyAlignment="1"/>
    <xf numFmtId="0" fontId="7" fillId="72" borderId="4" xfId="0" applyFont="1" applyFill="1" applyBorder="1"/>
    <xf numFmtId="2" fontId="7" fillId="72" borderId="4" xfId="0" applyNumberFormat="1" applyFont="1" applyFill="1" applyBorder="1"/>
    <xf numFmtId="0" fontId="7" fillId="72" borderId="4" xfId="0" applyFont="1" applyFill="1" applyBorder="1" applyAlignment="1">
      <alignment horizontal="right"/>
    </xf>
    <xf numFmtId="49" fontId="7" fillId="72" borderId="4" xfId="0" applyNumberFormat="1" applyFont="1" applyFill="1" applyBorder="1" applyAlignment="1">
      <alignment horizontal="right"/>
    </xf>
    <xf numFmtId="2" fontId="7" fillId="0" borderId="0" xfId="0" applyNumberFormat="1" applyFont="1"/>
    <xf numFmtId="0" fontId="8" fillId="0" borderId="4" xfId="0" applyFont="1" applyBorder="1" applyAlignment="1" applyProtection="1">
      <alignment horizontal="left" vertical="center" wrapText="1"/>
      <protection locked="0"/>
    </xf>
    <xf numFmtId="0" fontId="27" fillId="0" borderId="0" xfId="0" applyFont="1"/>
    <xf numFmtId="4" fontId="0" fillId="0" borderId="0" xfId="0" applyNumberFormat="1"/>
    <xf numFmtId="0" fontId="62" fillId="0" borderId="0" xfId="0" applyFont="1"/>
    <xf numFmtId="3" fontId="8" fillId="0" borderId="26" xfId="0" applyNumberFormat="1" applyFont="1" applyBorder="1" applyAlignment="1" applyProtection="1">
      <alignment horizontal="center" wrapText="1"/>
      <protection locked="0"/>
    </xf>
    <xf numFmtId="3" fontId="8" fillId="0" borderId="26" xfId="0" applyNumberFormat="1" applyFont="1" applyBorder="1" applyAlignment="1">
      <alignment horizontal="center" wrapText="1"/>
    </xf>
    <xf numFmtId="3" fontId="7" fillId="52" borderId="4" xfId="0" applyNumberFormat="1" applyFont="1" applyFill="1" applyBorder="1" applyAlignment="1">
      <alignment horizontal="center"/>
    </xf>
    <xf numFmtId="3" fontId="29" fillId="0" borderId="4" xfId="0" applyNumberFormat="1" applyFont="1" applyFill="1" applyBorder="1" applyAlignment="1" applyProtection="1">
      <alignment horizontal="center"/>
    </xf>
    <xf numFmtId="3" fontId="29" fillId="72" borderId="4" xfId="0" applyNumberFormat="1" applyFont="1" applyFill="1" applyBorder="1" applyAlignment="1" applyProtection="1">
      <alignment horizontal="center"/>
      <protection locked="0"/>
    </xf>
    <xf numFmtId="3" fontId="29" fillId="0" borderId="4" xfId="0" applyNumberFormat="1" applyFont="1" applyFill="1" applyBorder="1" applyAlignment="1">
      <alignment horizontal="center" wrapText="1"/>
    </xf>
    <xf numFmtId="3" fontId="8" fillId="52" borderId="4" xfId="0" applyNumberFormat="1" applyFont="1" applyFill="1" applyBorder="1" applyAlignment="1" applyProtection="1">
      <alignment horizontal="center"/>
      <protection locked="0"/>
    </xf>
    <xf numFmtId="3" fontId="8" fillId="0" borderId="4" xfId="0" applyNumberFormat="1" applyFont="1" applyFill="1" applyBorder="1" applyAlignment="1" applyProtection="1">
      <alignment horizontal="center"/>
      <protection locked="0"/>
    </xf>
    <xf numFmtId="3" fontId="7" fillId="52" borderId="4" xfId="0" applyNumberFormat="1" applyFont="1" applyFill="1" applyBorder="1" applyAlignment="1" applyProtection="1">
      <alignment horizontal="center"/>
      <protection locked="0"/>
    </xf>
    <xf numFmtId="171" fontId="7" fillId="0" borderId="4" xfId="0" applyNumberFormat="1" applyFont="1" applyBorder="1" applyAlignment="1" applyProtection="1">
      <alignment horizontal="center" wrapText="1"/>
      <protection locked="0"/>
    </xf>
    <xf numFmtId="3" fontId="16" fillId="0" borderId="30" xfId="2620" applyNumberFormat="1" applyBorder="1" applyAlignment="1">
      <alignment wrapText="1"/>
    </xf>
    <xf numFmtId="3" fontId="16" fillId="0" borderId="31" xfId="2620" applyNumberFormat="1" applyBorder="1" applyAlignment="1">
      <alignment wrapText="1"/>
    </xf>
    <xf numFmtId="3" fontId="16" fillId="0" borderId="64" xfId="2620" applyNumberFormat="1" applyBorder="1" applyAlignment="1">
      <alignment wrapText="1"/>
    </xf>
    <xf numFmtId="3" fontId="16" fillId="0" borderId="4" xfId="2620" applyNumberFormat="1" applyFont="1" applyBorder="1" applyAlignment="1">
      <alignment wrapText="1"/>
    </xf>
    <xf numFmtId="3" fontId="16" fillId="0" borderId="32" xfId="2620" applyNumberFormat="1" applyFont="1" applyBorder="1" applyAlignment="1">
      <alignment wrapText="1"/>
    </xf>
    <xf numFmtId="3" fontId="16" fillId="0" borderId="65" xfId="2620" applyNumberFormat="1" applyFont="1" applyBorder="1" applyAlignment="1">
      <alignment wrapText="1"/>
    </xf>
    <xf numFmtId="3" fontId="16" fillId="52" borderId="4" xfId="2620" applyNumberFormat="1" applyFill="1" applyBorder="1" applyAlignment="1" applyProtection="1">
      <alignment wrapText="1"/>
      <protection locked="0"/>
    </xf>
    <xf numFmtId="3" fontId="16" fillId="0" borderId="57" xfId="2620" applyNumberFormat="1" applyBorder="1" applyAlignment="1">
      <alignment wrapText="1"/>
    </xf>
    <xf numFmtId="3" fontId="16" fillId="0" borderId="32" xfId="2620" applyNumberFormat="1" applyBorder="1" applyAlignment="1">
      <alignment wrapText="1"/>
    </xf>
    <xf numFmtId="3" fontId="16" fillId="52" borderId="65" xfId="2620" applyNumberFormat="1" applyFill="1" applyBorder="1" applyAlignment="1" applyProtection="1">
      <alignment wrapText="1"/>
      <protection locked="0"/>
    </xf>
    <xf numFmtId="3" fontId="16" fillId="52" borderId="27" xfId="2620" applyNumberFormat="1" applyFill="1" applyBorder="1" applyAlignment="1" applyProtection="1">
      <alignment wrapText="1"/>
      <protection locked="0"/>
    </xf>
    <xf numFmtId="3" fontId="16" fillId="0" borderId="43" xfId="2620" applyNumberFormat="1" applyBorder="1" applyAlignment="1">
      <alignment wrapText="1"/>
    </xf>
    <xf numFmtId="3" fontId="16" fillId="0" borderId="55" xfId="2620" applyNumberFormat="1" applyBorder="1" applyAlignment="1">
      <alignment wrapText="1"/>
    </xf>
    <xf numFmtId="3" fontId="16" fillId="52" borderId="69" xfId="2620" applyNumberFormat="1" applyFill="1" applyBorder="1" applyAlignment="1" applyProtection="1">
      <alignment wrapText="1"/>
      <protection locked="0"/>
    </xf>
    <xf numFmtId="3" fontId="16" fillId="0" borderId="30" xfId="2620" applyNumberFormat="1" applyFont="1" applyBorder="1" applyAlignment="1">
      <alignment wrapText="1"/>
    </xf>
    <xf numFmtId="3" fontId="16" fillId="0" borderId="31" xfId="2620" applyNumberFormat="1" applyFont="1" applyBorder="1" applyAlignment="1">
      <alignment wrapText="1"/>
    </xf>
    <xf numFmtId="3" fontId="16" fillId="52" borderId="40" xfId="2620" applyNumberFormat="1" applyFill="1" applyBorder="1" applyAlignment="1" applyProtection="1">
      <alignment wrapText="1"/>
      <protection locked="0"/>
    </xf>
    <xf numFmtId="3" fontId="16" fillId="0" borderId="58" xfId="2620" applyNumberFormat="1" applyBorder="1" applyAlignment="1">
      <alignment wrapText="1"/>
    </xf>
    <xf numFmtId="3" fontId="16" fillId="0" borderId="41" xfId="2620" applyNumberFormat="1" applyBorder="1" applyAlignment="1">
      <alignment wrapText="1"/>
    </xf>
    <xf numFmtId="3" fontId="16" fillId="0" borderId="64" xfId="2620" applyNumberFormat="1" applyFont="1" applyBorder="1" applyAlignment="1">
      <alignment wrapText="1"/>
    </xf>
    <xf numFmtId="3" fontId="16" fillId="0" borderId="40" xfId="2620" applyNumberFormat="1" applyFont="1" applyBorder="1" applyAlignment="1">
      <alignment horizontal="center" wrapText="1"/>
    </xf>
    <xf numFmtId="3" fontId="16" fillId="0" borderId="58" xfId="2620" applyNumberFormat="1" applyFont="1" applyBorder="1" applyAlignment="1">
      <alignment horizontal="center" wrapText="1"/>
    </xf>
    <xf numFmtId="3" fontId="16" fillId="0" borderId="69" xfId="2620" applyNumberFormat="1" applyFont="1" applyBorder="1" applyAlignment="1">
      <alignment horizontal="center" wrapText="1"/>
    </xf>
    <xf numFmtId="3" fontId="16" fillId="0" borderId="56" xfId="2620" applyNumberFormat="1" applyFont="1" applyBorder="1" applyAlignment="1">
      <alignment wrapText="1"/>
    </xf>
    <xf numFmtId="3" fontId="16" fillId="0" borderId="57" xfId="2620" applyNumberFormat="1" applyFont="1" applyBorder="1" applyAlignment="1">
      <alignment wrapText="1"/>
    </xf>
    <xf numFmtId="3" fontId="16" fillId="0" borderId="40" xfId="2620" applyNumberFormat="1" applyFont="1" applyBorder="1" applyAlignment="1">
      <alignment wrapText="1"/>
    </xf>
    <xf numFmtId="3" fontId="16" fillId="0" borderId="58" xfId="2620" applyNumberFormat="1" applyFont="1" applyBorder="1" applyAlignment="1">
      <alignment wrapText="1"/>
    </xf>
    <xf numFmtId="3" fontId="16" fillId="0" borderId="69" xfId="2620" applyNumberFormat="1" applyFont="1" applyBorder="1" applyAlignment="1">
      <alignment wrapText="1"/>
    </xf>
    <xf numFmtId="0" fontId="8" fillId="52" borderId="4" xfId="0" applyFont="1" applyFill="1" applyBorder="1" applyAlignment="1" applyProtection="1">
      <alignment horizontal="center" vertical="center" wrapText="1"/>
      <protection locked="0"/>
    </xf>
    <xf numFmtId="3" fontId="16" fillId="3" borderId="4" xfId="2617" applyNumberFormat="1" applyFont="1" applyFill="1" applyBorder="1" applyProtection="1">
      <protection locked="0"/>
    </xf>
    <xf numFmtId="3" fontId="16" fillId="3" borderId="32" xfId="2617" applyNumberFormat="1" applyFont="1" applyFill="1" applyBorder="1" applyProtection="1">
      <protection locked="0"/>
    </xf>
    <xf numFmtId="3" fontId="16" fillId="3" borderId="40" xfId="2617" applyNumberFormat="1" applyFont="1" applyFill="1" applyBorder="1" applyProtection="1">
      <protection locked="0"/>
    </xf>
    <xf numFmtId="3" fontId="16" fillId="3" borderId="30" xfId="2617" applyNumberFormat="1" applyFont="1" applyFill="1" applyBorder="1" applyProtection="1">
      <protection locked="0"/>
    </xf>
    <xf numFmtId="3" fontId="16" fillId="0" borderId="30" xfId="2617" applyNumberFormat="1" applyFont="1" applyBorder="1"/>
    <xf numFmtId="3" fontId="16" fillId="0" borderId="31" xfId="2617" applyNumberFormat="1" applyFont="1" applyBorder="1"/>
    <xf numFmtId="3" fontId="16" fillId="0" borderId="4" xfId="2617" applyNumberFormat="1" applyFont="1" applyBorder="1"/>
    <xf numFmtId="3" fontId="16" fillId="0" borderId="32" xfId="2617" applyNumberFormat="1" applyFont="1" applyBorder="1"/>
    <xf numFmtId="4" fontId="7" fillId="0" borderId="53" xfId="2617" applyNumberFormat="1" applyFont="1" applyBorder="1" applyAlignment="1"/>
    <xf numFmtId="3" fontId="16" fillId="0" borderId="51" xfId="2617" applyNumberFormat="1" applyFont="1" applyBorder="1"/>
    <xf numFmtId="167" fontId="7" fillId="3" borderId="4" xfId="0" applyNumberFormat="1" applyFont="1" applyFill="1" applyBorder="1" applyProtection="1"/>
    <xf numFmtId="167" fontId="7" fillId="57" borderId="4" xfId="0" applyNumberFormat="1" applyFont="1" applyFill="1" applyBorder="1" applyProtection="1">
      <protection locked="0"/>
    </xf>
    <xf numFmtId="167" fontId="15" fillId="72" borderId="4" xfId="604" applyNumberFormat="1" applyFont="1" applyFill="1" applyBorder="1" applyAlignment="1" applyProtection="1">
      <alignment horizontal="center"/>
      <protection locked="0"/>
    </xf>
    <xf numFmtId="167" fontId="7" fillId="3" borderId="4" xfId="0" applyNumberFormat="1" applyFont="1" applyFill="1" applyBorder="1" applyProtection="1">
      <protection locked="0"/>
    </xf>
    <xf numFmtId="167" fontId="45" fillId="72" borderId="4" xfId="604" applyNumberFormat="1" applyFont="1" applyFill="1" applyBorder="1" applyAlignment="1" applyProtection="1">
      <alignment horizontal="center"/>
      <protection locked="0"/>
    </xf>
    <xf numFmtId="167" fontId="7" fillId="3" borderId="4" xfId="0" applyNumberFormat="1" applyFont="1" applyFill="1" applyBorder="1" applyAlignment="1" applyProtection="1">
      <protection locked="0"/>
    </xf>
    <xf numFmtId="4" fontId="16" fillId="0" borderId="25" xfId="2617" applyNumberFormat="1" applyBorder="1"/>
    <xf numFmtId="4" fontId="16" fillId="0" borderId="30" xfId="2617" applyNumberFormat="1" applyBorder="1"/>
    <xf numFmtId="4" fontId="16" fillId="0" borderId="31" xfId="2617" applyNumberFormat="1" applyBorder="1"/>
    <xf numFmtId="4" fontId="16" fillId="0" borderId="33" xfId="2617" applyNumberFormat="1" applyBorder="1"/>
    <xf numFmtId="4" fontId="16" fillId="0" borderId="4" xfId="2617" applyNumberFormat="1" applyBorder="1"/>
    <xf numFmtId="4" fontId="16" fillId="0" borderId="32" xfId="2617" applyNumberFormat="1" applyBorder="1"/>
    <xf numFmtId="4" fontId="16" fillId="0" borderId="39" xfId="2617" applyNumberFormat="1" applyBorder="1"/>
    <xf numFmtId="4" fontId="16" fillId="0" borderId="40" xfId="2617" applyNumberFormat="1" applyBorder="1"/>
    <xf numFmtId="4" fontId="16" fillId="0" borderId="41" xfId="2617" applyNumberFormat="1" applyBorder="1"/>
    <xf numFmtId="4" fontId="14" fillId="0" borderId="23" xfId="2617" applyNumberFormat="1" applyFont="1" applyBorder="1" applyAlignment="1"/>
    <xf numFmtId="4" fontId="16" fillId="0" borderId="51" xfId="2617" applyNumberFormat="1" applyFont="1" applyBorder="1"/>
    <xf numFmtId="4" fontId="14" fillId="0" borderId="49" xfId="2617" applyNumberFormat="1" applyFont="1" applyBorder="1" applyAlignment="1"/>
    <xf numFmtId="4" fontId="7" fillId="0" borderId="30" xfId="2617" applyNumberFormat="1" applyFont="1" applyBorder="1" applyAlignment="1">
      <alignment horizontal="center" vertical="center"/>
    </xf>
    <xf numFmtId="4" fontId="7" fillId="0" borderId="30" xfId="2617" applyNumberFormat="1" applyFont="1" applyBorder="1" applyAlignment="1"/>
    <xf numFmtId="4" fontId="16" fillId="0" borderId="31" xfId="2617" applyNumberFormat="1" applyFont="1" applyBorder="1"/>
    <xf numFmtId="4" fontId="14" fillId="0" borderId="29" xfId="2617" applyNumberFormat="1" applyFont="1" applyBorder="1" applyAlignment="1"/>
    <xf numFmtId="4" fontId="7" fillId="0" borderId="4" xfId="2617" applyNumberFormat="1" applyFont="1" applyBorder="1" applyAlignment="1">
      <alignment horizontal="center" vertical="center"/>
    </xf>
    <xf numFmtId="4" fontId="7" fillId="0" borderId="4" xfId="2617" applyNumberFormat="1" applyFont="1" applyBorder="1" applyAlignment="1"/>
    <xf numFmtId="4" fontId="7" fillId="3" borderId="4" xfId="2617" applyNumberFormat="1" applyFont="1" applyFill="1" applyBorder="1" applyAlignment="1" applyProtection="1">
      <protection locked="0"/>
    </xf>
    <xf numFmtId="4" fontId="16" fillId="3" borderId="32" xfId="2617" applyNumberFormat="1" applyFont="1" applyFill="1" applyBorder="1" applyProtection="1">
      <protection locked="0"/>
    </xf>
    <xf numFmtId="4" fontId="16" fillId="3" borderId="4" xfId="2617" applyNumberFormat="1" applyFont="1" applyFill="1" applyBorder="1" applyProtection="1">
      <protection locked="0"/>
    </xf>
    <xf numFmtId="4" fontId="14" fillId="0" borderId="38" xfId="2617" applyNumberFormat="1" applyFont="1" applyBorder="1" applyAlignment="1"/>
    <xf numFmtId="4" fontId="7" fillId="0" borderId="40" xfId="2617" applyNumberFormat="1" applyFont="1" applyBorder="1" applyAlignment="1">
      <alignment horizontal="center" vertical="center"/>
    </xf>
    <xf numFmtId="4" fontId="16" fillId="0" borderId="41" xfId="2617" applyNumberFormat="1" applyFont="1" applyBorder="1"/>
    <xf numFmtId="4" fontId="14" fillId="0" borderId="25" xfId="2617" applyNumberFormat="1" applyFont="1" applyBorder="1" applyAlignment="1"/>
    <xf numFmtId="4" fontId="16" fillId="3" borderId="30" xfId="2617" applyNumberFormat="1" applyFont="1" applyFill="1" applyBorder="1" applyProtection="1">
      <protection locked="0"/>
    </xf>
    <xf numFmtId="4" fontId="16" fillId="3" borderId="31" xfId="2617" applyNumberFormat="1" applyFont="1" applyFill="1" applyBorder="1" applyProtection="1">
      <protection locked="0"/>
    </xf>
    <xf numFmtId="4" fontId="14" fillId="0" borderId="33" xfId="2617" applyNumberFormat="1" applyFont="1" applyBorder="1" applyAlignment="1"/>
    <xf numFmtId="4" fontId="16" fillId="0" borderId="4" xfId="2617" applyNumberFormat="1" applyFont="1" applyBorder="1"/>
    <xf numFmtId="4" fontId="16" fillId="0" borderId="32" xfId="2617" applyNumberFormat="1" applyFont="1" applyBorder="1"/>
    <xf numFmtId="4" fontId="14" fillId="0" borderId="39" xfId="2617" applyNumberFormat="1" applyFont="1" applyBorder="1" applyAlignment="1"/>
    <xf numFmtId="4" fontId="16" fillId="3" borderId="40" xfId="2617" applyNumberFormat="1" applyFont="1" applyFill="1" applyBorder="1" applyProtection="1">
      <protection locked="0"/>
    </xf>
    <xf numFmtId="4" fontId="16" fillId="3" borderId="41" xfId="2617" applyNumberFormat="1" applyFont="1" applyFill="1" applyBorder="1" applyProtection="1">
      <protection locked="0"/>
    </xf>
    <xf numFmtId="4" fontId="16" fillId="0" borderId="30" xfId="2617" applyNumberFormat="1" applyFont="1" applyBorder="1"/>
    <xf numFmtId="4" fontId="16" fillId="3" borderId="27" xfId="2617" applyNumberFormat="1" applyFont="1" applyFill="1" applyBorder="1" applyProtection="1">
      <protection locked="0"/>
    </xf>
    <xf numFmtId="4" fontId="16" fillId="3" borderId="55" xfId="2617" applyNumberFormat="1" applyFont="1" applyFill="1" applyBorder="1" applyProtection="1">
      <protection locked="0"/>
    </xf>
    <xf numFmtId="171" fontId="16" fillId="3" borderId="32" xfId="2617" applyNumberFormat="1" applyFont="1" applyFill="1" applyBorder="1" applyProtection="1">
      <protection locked="0"/>
    </xf>
    <xf numFmtId="171" fontId="16" fillId="3" borderId="40" xfId="2617" applyNumberFormat="1" applyFont="1" applyFill="1" applyBorder="1" applyProtection="1">
      <protection locked="0"/>
    </xf>
    <xf numFmtId="171" fontId="16" fillId="3" borderId="41" xfId="2617" applyNumberFormat="1" applyFont="1" applyFill="1" applyBorder="1" applyProtection="1">
      <protection locked="0"/>
    </xf>
    <xf numFmtId="171" fontId="16" fillId="3" borderId="30" xfId="2617" applyNumberFormat="1" applyFont="1" applyFill="1" applyBorder="1" applyProtection="1">
      <protection locked="0"/>
    </xf>
    <xf numFmtId="171" fontId="16" fillId="3" borderId="31" xfId="2617" applyNumberFormat="1" applyFont="1" applyFill="1" applyBorder="1" applyProtection="1">
      <protection locked="0"/>
    </xf>
    <xf numFmtId="171" fontId="16" fillId="0" borderId="30" xfId="2617" applyNumberFormat="1" applyFont="1" applyBorder="1"/>
    <xf numFmtId="171" fontId="16" fillId="0" borderId="31" xfId="2617" applyNumberFormat="1" applyFont="1" applyBorder="1"/>
    <xf numFmtId="171" fontId="16" fillId="0" borderId="4" xfId="2617" applyNumberFormat="1" applyFont="1" applyBorder="1"/>
    <xf numFmtId="171" fontId="16" fillId="0" borderId="32" xfId="2617" applyNumberFormat="1" applyFont="1" applyBorder="1"/>
    <xf numFmtId="171" fontId="16" fillId="3" borderId="4" xfId="2617" applyNumberFormat="1" applyFont="1" applyFill="1" applyBorder="1" applyProtection="1">
      <protection locked="0"/>
    </xf>
    <xf numFmtId="170" fontId="16" fillId="3" borderId="4" xfId="2617" applyNumberFormat="1" applyFont="1" applyFill="1" applyBorder="1" applyProtection="1">
      <protection locked="0"/>
    </xf>
    <xf numFmtId="171" fontId="7" fillId="0" borderId="53" xfId="2617" applyNumberFormat="1" applyFont="1" applyBorder="1" applyAlignment="1"/>
    <xf numFmtId="171" fontId="16" fillId="0" borderId="51" xfId="2617" applyNumberFormat="1" applyFont="1" applyBorder="1"/>
    <xf numFmtId="171" fontId="14" fillId="0" borderId="33" xfId="2617" applyNumberFormat="1" applyFont="1" applyBorder="1" applyAlignment="1"/>
    <xf numFmtId="171" fontId="14" fillId="0" borderId="25" xfId="2617" applyNumberFormat="1" applyFont="1" applyBorder="1" applyAlignment="1"/>
    <xf numFmtId="171" fontId="14" fillId="0" borderId="39" xfId="2617" applyNumberFormat="1" applyFont="1" applyBorder="1" applyAlignment="1"/>
    <xf numFmtId="171" fontId="16" fillId="0" borderId="25" xfId="2617" applyNumberFormat="1" applyBorder="1"/>
    <xf numFmtId="171" fontId="16" fillId="0" borderId="33" xfId="2617" applyNumberFormat="1" applyBorder="1"/>
    <xf numFmtId="171" fontId="16" fillId="0" borderId="39" xfId="2617" applyNumberFormat="1" applyBorder="1"/>
    <xf numFmtId="171" fontId="16" fillId="0" borderId="30" xfId="2617" applyNumberFormat="1" applyBorder="1"/>
    <xf numFmtId="171" fontId="16" fillId="0" borderId="31" xfId="2617" applyNumberFormat="1" applyBorder="1"/>
    <xf numFmtId="171" fontId="16" fillId="0" borderId="4" xfId="2617" applyNumberFormat="1" applyBorder="1"/>
    <xf numFmtId="171" fontId="16" fillId="0" borderId="32" xfId="2617" applyNumberFormat="1" applyBorder="1"/>
    <xf numFmtId="171" fontId="16" fillId="0" borderId="40" xfId="2617" applyNumberFormat="1" applyBorder="1"/>
    <xf numFmtId="171" fontId="16" fillId="0" borderId="41" xfId="2617" applyNumberFormat="1" applyBorder="1"/>
    <xf numFmtId="3" fontId="7" fillId="52" borderId="30" xfId="0" applyNumberFormat="1" applyFont="1" applyFill="1" applyBorder="1" applyAlignment="1" applyProtection="1">
      <alignment horizontal="center" vertical="center"/>
      <protection locked="0"/>
    </xf>
    <xf numFmtId="3" fontId="7" fillId="52" borderId="26" xfId="0" applyNumberFormat="1" applyFont="1" applyFill="1" applyBorder="1" applyAlignment="1" applyProtection="1">
      <alignment horizontal="center" vertical="center"/>
      <protection locked="0"/>
    </xf>
    <xf numFmtId="3" fontId="7" fillId="52" borderId="4" xfId="0" applyNumberFormat="1" applyFont="1" applyFill="1" applyBorder="1" applyAlignment="1" applyProtection="1">
      <alignment horizontal="center" vertical="center"/>
      <protection locked="0"/>
    </xf>
    <xf numFmtId="3" fontId="7" fillId="0" borderId="4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45" xfId="0" applyNumberFormat="1" applyFont="1" applyBorder="1" applyAlignment="1">
      <alignment horizontal="center" vertical="center"/>
    </xf>
    <xf numFmtId="10" fontId="7" fillId="52" borderId="27" xfId="2664" applyNumberFormat="1" applyFont="1" applyFill="1" applyBorder="1" applyAlignment="1" applyProtection="1">
      <alignment horizontal="center" vertical="center"/>
      <protection locked="0"/>
    </xf>
    <xf numFmtId="3" fontId="7" fillId="52" borderId="4" xfId="0" applyNumberFormat="1" applyFont="1" applyFill="1" applyBorder="1" applyProtection="1">
      <protection locked="0"/>
    </xf>
    <xf numFmtId="3" fontId="7" fillId="0" borderId="4" xfId="0" applyNumberFormat="1" applyFont="1" applyBorder="1"/>
    <xf numFmtId="172" fontId="7" fillId="52" borderId="4" xfId="0" applyNumberFormat="1" applyFont="1" applyFill="1" applyBorder="1" applyProtection="1"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0" fillId="0" borderId="4" xfId="0" applyFont="1" applyBorder="1" applyAlignment="1"/>
    <xf numFmtId="179" fontId="16" fillId="0" borderId="0" xfId="2617" applyNumberFormat="1"/>
    <xf numFmtId="0" fontId="28" fillId="0" borderId="0" xfId="0" applyFont="1"/>
    <xf numFmtId="3" fontId="29" fillId="72" borderId="4" xfId="0" applyNumberFormat="1" applyFont="1" applyFill="1" applyBorder="1" applyAlignment="1">
      <alignment horizontal="center"/>
    </xf>
    <xf numFmtId="3" fontId="29" fillId="81" borderId="4" xfId="0" applyNumberFormat="1" applyFont="1" applyFill="1" applyBorder="1" applyAlignment="1" applyProtection="1">
      <alignment horizontal="center" wrapText="1"/>
      <protection locked="0"/>
    </xf>
    <xf numFmtId="49" fontId="7" fillId="0" borderId="0" xfId="2621" applyNumberFormat="1" applyFont="1" applyAlignment="1">
      <alignment horizontal="centerContinuous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49" fontId="7" fillId="0" borderId="0" xfId="2621" applyNumberFormat="1" applyFont="1" applyBorder="1"/>
    <xf numFmtId="0" fontId="29" fillId="0" borderId="68" xfId="0" applyFont="1" applyBorder="1"/>
    <xf numFmtId="0" fontId="29" fillId="0" borderId="0" xfId="0" applyFont="1" applyBorder="1" applyAlignment="1">
      <alignment vertical="top"/>
    </xf>
    <xf numFmtId="9" fontId="29" fillId="72" borderId="0" xfId="2664" applyFont="1" applyFill="1"/>
    <xf numFmtId="3" fontId="29" fillId="72" borderId="4" xfId="0" applyNumberFormat="1" applyFont="1" applyFill="1" applyBorder="1" applyAlignment="1" applyProtection="1">
      <alignment horizontal="center" wrapText="1"/>
    </xf>
    <xf numFmtId="0" fontId="8" fillId="81" borderId="4" xfId="0" applyFont="1" applyFill="1" applyBorder="1" applyAlignment="1">
      <alignment wrapText="1"/>
    </xf>
    <xf numFmtId="3" fontId="29" fillId="72" borderId="4" xfId="0" applyNumberFormat="1" applyFont="1" applyFill="1" applyBorder="1" applyAlignment="1">
      <alignment horizontal="center" wrapText="1"/>
    </xf>
    <xf numFmtId="3" fontId="8" fillId="52" borderId="4" xfId="0" applyNumberFormat="1" applyFont="1" applyFill="1" applyBorder="1" applyAlignment="1" applyProtection="1">
      <alignment horizontal="center" wrapText="1"/>
      <protection locked="0"/>
    </xf>
    <xf numFmtId="166" fontId="7" fillId="0" borderId="4" xfId="2664" applyNumberFormat="1" applyFont="1" applyBorder="1" applyAlignment="1" applyProtection="1">
      <alignment horizontal="center" wrapText="1"/>
      <protection locked="0"/>
    </xf>
    <xf numFmtId="0" fontId="0" fillId="0" borderId="0" xfId="0" applyFont="1"/>
    <xf numFmtId="3" fontId="8" fillId="72" borderId="4" xfId="0" applyNumberFormat="1" applyFont="1" applyFill="1" applyBorder="1" applyAlignment="1" applyProtection="1">
      <alignment horizontal="center"/>
    </xf>
    <xf numFmtId="0" fontId="61" fillId="0" borderId="4" xfId="0" applyFont="1" applyFill="1" applyBorder="1" applyAlignment="1">
      <alignment wrapText="1"/>
    </xf>
    <xf numFmtId="0" fontId="7" fillId="0" borderId="4" xfId="0" applyFont="1" applyFill="1" applyBorder="1" applyAlignment="1" applyProtection="1">
      <alignment vertical="center" wrapText="1"/>
      <protection locked="0"/>
    </xf>
    <xf numFmtId="0" fontId="61" fillId="0" borderId="4" xfId="0" applyFont="1" applyFill="1" applyBorder="1"/>
    <xf numFmtId="3" fontId="8" fillId="0" borderId="4" xfId="0" applyNumberFormat="1" applyFont="1" applyFill="1" applyBorder="1" applyAlignment="1" applyProtection="1">
      <alignment horizontal="center" wrapText="1"/>
      <protection locked="0"/>
    </xf>
    <xf numFmtId="3" fontId="8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 applyAlignment="1" applyProtection="1">
      <alignment horizontal="center"/>
      <protection locked="0"/>
    </xf>
    <xf numFmtId="0" fontId="7" fillId="0" borderId="68" xfId="0" applyFont="1" applyBorder="1"/>
    <xf numFmtId="166" fontId="7" fillId="0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4" fontId="8" fillId="72" borderId="4" xfId="0" applyNumberFormat="1" applyFont="1" applyFill="1" applyBorder="1" applyAlignment="1" applyProtection="1">
      <alignment horizontal="center"/>
    </xf>
    <xf numFmtId="4" fontId="8" fillId="2" borderId="4" xfId="0" applyNumberFormat="1" applyFont="1" applyFill="1" applyBorder="1" applyAlignment="1" applyProtection="1">
      <alignment horizontal="center" vertical="center"/>
    </xf>
    <xf numFmtId="170" fontId="7" fillId="52" borderId="4" xfId="0" applyNumberFormat="1" applyFont="1" applyFill="1" applyBorder="1" applyAlignment="1" applyProtection="1">
      <alignment horizontal="center" vertical="center"/>
      <protection locked="0"/>
    </xf>
    <xf numFmtId="170" fontId="7" fillId="52" borderId="4" xfId="0" applyNumberFormat="1" applyFont="1" applyFill="1" applyBorder="1" applyAlignment="1" applyProtection="1">
      <alignment horizontal="center" vertical="center"/>
    </xf>
    <xf numFmtId="172" fontId="7" fillId="52" borderId="4" xfId="0" applyNumberFormat="1" applyFont="1" applyFill="1" applyBorder="1" applyAlignment="1" applyProtection="1">
      <alignment horizontal="center" vertical="center"/>
    </xf>
    <xf numFmtId="0" fontId="0" fillId="72" borderId="0" xfId="0" applyFont="1" applyFill="1"/>
    <xf numFmtId="4" fontId="0" fillId="0" borderId="4" xfId="0" applyNumberFormat="1" applyFont="1" applyBorder="1"/>
    <xf numFmtId="4" fontId="7" fillId="72" borderId="4" xfId="0" applyNumberFormat="1" applyFont="1" applyFill="1" applyBorder="1" applyAlignment="1" applyProtection="1">
      <alignment horizontal="center"/>
    </xf>
    <xf numFmtId="170" fontId="7" fillId="52" borderId="4" xfId="0" applyNumberFormat="1" applyFont="1" applyFill="1" applyBorder="1" applyAlignment="1" applyProtection="1">
      <alignment horizontal="center"/>
      <protection locked="0"/>
    </xf>
    <xf numFmtId="4" fontId="7" fillId="72" borderId="27" xfId="0" applyNumberFormat="1" applyFont="1" applyFill="1" applyBorder="1" applyAlignment="1" applyProtection="1">
      <alignment horizontal="center"/>
    </xf>
    <xf numFmtId="170" fontId="7" fillId="72" borderId="4" xfId="0" applyNumberFormat="1" applyFont="1" applyFill="1" applyBorder="1" applyAlignment="1" applyProtection="1">
      <alignment horizontal="center"/>
      <protection locked="0"/>
    </xf>
    <xf numFmtId="170" fontId="7" fillId="0" borderId="4" xfId="0" applyNumberFormat="1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49" fontId="7" fillId="0" borderId="4" xfId="0" applyNumberFormat="1" applyFont="1" applyFill="1" applyBorder="1" applyAlignment="1" applyProtection="1">
      <alignment horizontal="left" vertical="center" wrapText="1"/>
      <protection locked="0"/>
    </xf>
    <xf numFmtId="4" fontId="7" fillId="52" borderId="4" xfId="2664" applyNumberFormat="1" applyFont="1" applyFill="1" applyBorder="1" applyAlignment="1" applyProtection="1">
      <alignment horizontal="center"/>
      <protection locked="0"/>
    </xf>
    <xf numFmtId="2" fontId="8" fillId="72" borderId="4" xfId="0" applyNumberFormat="1" applyFont="1" applyFill="1" applyBorder="1" applyAlignment="1" applyProtection="1">
      <alignment horizontal="center"/>
      <protection locked="0"/>
    </xf>
    <xf numFmtId="10" fontId="7" fillId="52" borderId="4" xfId="2664" applyNumberFormat="1" applyFont="1" applyFill="1" applyBorder="1" applyAlignment="1" applyProtection="1">
      <alignment horizontal="center"/>
      <protection locked="0"/>
    </xf>
    <xf numFmtId="168" fontId="7" fillId="52" borderId="4" xfId="0" applyNumberFormat="1" applyFont="1" applyFill="1" applyBorder="1" applyAlignment="1" applyProtection="1">
      <alignment horizontal="center"/>
      <protection locked="0"/>
    </xf>
    <xf numFmtId="2" fontId="8" fillId="52" borderId="4" xfId="0" applyNumberFormat="1" applyFont="1" applyFill="1" applyBorder="1" applyAlignment="1" applyProtection="1">
      <alignment horizontal="center"/>
      <protection locked="0"/>
    </xf>
    <xf numFmtId="2" fontId="7" fillId="52" borderId="4" xfId="0" applyNumberFormat="1" applyFont="1" applyFill="1" applyBorder="1" applyAlignment="1" applyProtection="1">
      <alignment horizontal="center"/>
      <protection locked="0"/>
    </xf>
    <xf numFmtId="2" fontId="7" fillId="72" borderId="4" xfId="0" applyNumberFormat="1" applyFont="1" applyFill="1" applyBorder="1" applyAlignment="1" applyProtection="1">
      <alignment horizontal="center"/>
    </xf>
    <xf numFmtId="49" fontId="7" fillId="0" borderId="4" xfId="0" applyNumberFormat="1" applyFont="1" applyFill="1" applyBorder="1"/>
    <xf numFmtId="0" fontId="7" fillId="0" borderId="4" xfId="0" applyFont="1" applyFill="1" applyBorder="1"/>
    <xf numFmtId="167" fontId="7" fillId="72" borderId="4" xfId="0" applyNumberFormat="1" applyFont="1" applyFill="1" applyBorder="1" applyAlignment="1" applyProtection="1">
      <alignment horizontal="center"/>
    </xf>
    <xf numFmtId="167" fontId="7" fillId="52" borderId="4" xfId="0" applyNumberFormat="1" applyFont="1" applyFill="1" applyBorder="1" applyAlignment="1" applyProtection="1">
      <alignment horizontal="center"/>
      <protection locked="0"/>
    </xf>
    <xf numFmtId="167" fontId="8" fillId="0" borderId="4" xfId="0" applyNumberFormat="1" applyFont="1" applyBorder="1" applyAlignment="1" applyProtection="1">
      <alignment horizontal="center" vertical="center"/>
      <protection locked="0"/>
    </xf>
    <xf numFmtId="167" fontId="8" fillId="0" borderId="4" xfId="0" applyNumberFormat="1" applyFont="1" applyBorder="1" applyAlignment="1" applyProtection="1">
      <alignment horizontal="center"/>
      <protection locked="0"/>
    </xf>
    <xf numFmtId="2" fontId="8" fillId="72" borderId="4" xfId="0" applyNumberFormat="1" applyFont="1" applyFill="1" applyBorder="1" applyAlignment="1" applyProtection="1">
      <alignment horizontal="center"/>
    </xf>
    <xf numFmtId="167" fontId="8" fillId="72" borderId="4" xfId="0" applyNumberFormat="1" applyFont="1" applyFill="1" applyBorder="1" applyAlignment="1" applyProtection="1">
      <alignment horizontal="center"/>
      <protection locked="0"/>
    </xf>
    <xf numFmtId="10" fontId="7" fillId="47" borderId="4" xfId="2664" applyNumberFormat="1" applyFont="1" applyFill="1" applyBorder="1" applyProtection="1">
      <protection locked="0"/>
    </xf>
    <xf numFmtId="0" fontId="29" fillId="0" borderId="0" xfId="0" applyFont="1" applyBorder="1"/>
    <xf numFmtId="10" fontId="7" fillId="72" borderId="4" xfId="2664" applyNumberFormat="1" applyFont="1" applyFill="1" applyBorder="1" applyAlignment="1" applyProtection="1">
      <alignment horizontal="center"/>
    </xf>
    <xf numFmtId="0" fontId="32" fillId="72" borderId="4" xfId="0" applyFont="1" applyFill="1" applyBorder="1" applyAlignment="1">
      <alignment wrapText="1"/>
    </xf>
    <xf numFmtId="0" fontId="33" fillId="72" borderId="4" xfId="0" applyFont="1" applyFill="1" applyBorder="1" applyAlignment="1">
      <alignment wrapText="1"/>
    </xf>
    <xf numFmtId="0" fontId="29" fillId="81" borderId="4" xfId="0" applyFont="1" applyFill="1" applyBorder="1" applyAlignment="1">
      <alignment horizontal="center"/>
    </xf>
    <xf numFmtId="172" fontId="29" fillId="72" borderId="0" xfId="0" applyNumberFormat="1" applyFont="1" applyFill="1" applyBorder="1" applyAlignment="1">
      <alignment horizontal="center" wrapText="1"/>
    </xf>
    <xf numFmtId="168" fontId="29" fillId="0" borderId="4" xfId="2664" applyNumberFormat="1" applyFont="1" applyFill="1" applyBorder="1" applyAlignment="1" applyProtection="1">
      <alignment horizontal="center" wrapText="1"/>
      <protection locked="0"/>
    </xf>
    <xf numFmtId="168" fontId="29" fillId="0" borderId="4" xfId="2664" applyNumberFormat="1" applyFont="1" applyFill="1" applyBorder="1" applyAlignment="1">
      <alignment horizontal="center" wrapText="1"/>
    </xf>
    <xf numFmtId="0" fontId="63" fillId="0" borderId="4" xfId="0" applyFont="1" applyFill="1" applyBorder="1" applyAlignment="1">
      <alignment wrapText="1"/>
    </xf>
    <xf numFmtId="4" fontId="63" fillId="0" borderId="4" xfId="0" applyNumberFormat="1" applyFont="1" applyFill="1" applyBorder="1" applyAlignment="1" applyProtection="1">
      <alignment horizontal="center" wrapText="1"/>
      <protection locked="0"/>
    </xf>
    <xf numFmtId="10" fontId="7" fillId="52" borderId="4" xfId="2664" applyNumberFormat="1" applyFont="1" applyFill="1" applyBorder="1" applyAlignment="1" applyProtection="1">
      <alignment horizontal="center" vertical="center"/>
    </xf>
    <xf numFmtId="171" fontId="7" fillId="52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wrapText="1"/>
    </xf>
    <xf numFmtId="0" fontId="38" fillId="0" borderId="0" xfId="0" applyFont="1"/>
    <xf numFmtId="0" fontId="38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justify" vertical="top" wrapText="1"/>
    </xf>
    <xf numFmtId="0" fontId="38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0" fontId="38" fillId="0" borderId="4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4" fontId="12" fillId="0" borderId="4" xfId="0" applyNumberFormat="1" applyFont="1" applyBorder="1" applyAlignment="1">
      <alignment horizontal="center" wrapText="1"/>
    </xf>
    <xf numFmtId="3" fontId="12" fillId="0" borderId="4" xfId="0" applyNumberFormat="1" applyFont="1" applyBorder="1" applyAlignment="1">
      <alignment horizontal="center" wrapText="1"/>
    </xf>
    <xf numFmtId="3" fontId="0" fillId="0" borderId="4" xfId="0" applyNumberFormat="1" applyBorder="1"/>
    <xf numFmtId="167" fontId="38" fillId="0" borderId="4" xfId="0" applyNumberFormat="1" applyFont="1" applyBorder="1" applyAlignment="1">
      <alignment horizontal="center" wrapText="1"/>
    </xf>
    <xf numFmtId="3" fontId="7" fillId="52" borderId="57" xfId="0" applyNumberFormat="1" applyFont="1" applyFill="1" applyBorder="1"/>
    <xf numFmtId="171" fontId="8" fillId="72" borderId="57" xfId="0" applyNumberFormat="1" applyFont="1" applyFill="1" applyBorder="1" applyAlignment="1" applyProtection="1">
      <alignment horizontal="center" wrapText="1"/>
      <protection locked="0"/>
    </xf>
    <xf numFmtId="3" fontId="8" fillId="0" borderId="70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166" fontId="7" fillId="61" borderId="4" xfId="0" applyNumberFormat="1" applyFont="1" applyFill="1" applyBorder="1" applyAlignment="1">
      <alignment horizontal="center"/>
    </xf>
    <xf numFmtId="9" fontId="0" fillId="0" borderId="0" xfId="2664" applyFont="1"/>
    <xf numFmtId="49" fontId="8" fillId="0" borderId="4" xfId="0" applyNumberFormat="1" applyFont="1" applyBorder="1"/>
    <xf numFmtId="1" fontId="8" fillId="0" borderId="4" xfId="0" applyNumberFormat="1" applyFont="1" applyFill="1" applyBorder="1" applyAlignment="1" applyProtection="1">
      <alignment horizontal="center" vertical="center" wrapText="1" shrinkToFit="1"/>
    </xf>
    <xf numFmtId="166" fontId="8" fillId="72" borderId="4" xfId="0" applyNumberFormat="1" applyFont="1" applyFill="1" applyBorder="1" applyAlignment="1" applyProtection="1">
      <alignment horizontal="center"/>
    </xf>
    <xf numFmtId="168" fontId="0" fillId="0" borderId="0" xfId="2664" applyNumberFormat="1" applyFont="1"/>
    <xf numFmtId="4" fontId="27" fillId="0" borderId="0" xfId="0" applyNumberFormat="1" applyFont="1"/>
    <xf numFmtId="0" fontId="7" fillId="0" borderId="57" xfId="0" applyFont="1" applyBorder="1"/>
    <xf numFmtId="0" fontId="7" fillId="0" borderId="71" xfId="0" applyFont="1" applyBorder="1"/>
    <xf numFmtId="0" fontId="7" fillId="0" borderId="0" xfId="0" applyFont="1" applyBorder="1"/>
    <xf numFmtId="4" fontId="7" fillId="72" borderId="4" xfId="0" applyNumberFormat="1" applyFont="1" applyFill="1" applyBorder="1" applyAlignment="1" applyProtection="1">
      <alignment horizontal="center" wrapText="1"/>
      <protection locked="0"/>
    </xf>
    <xf numFmtId="4" fontId="7" fillId="72" borderId="4" xfId="0" applyNumberFormat="1" applyFont="1" applyFill="1" applyBorder="1" applyAlignment="1" applyProtection="1">
      <alignment horizontal="center"/>
      <protection locked="0"/>
    </xf>
    <xf numFmtId="171" fontId="7" fillId="72" borderId="4" xfId="0" applyNumberFormat="1" applyFont="1" applyFill="1" applyBorder="1" applyAlignment="1">
      <alignment horizontal="center"/>
    </xf>
    <xf numFmtId="3" fontId="30" fillId="0" borderId="4" xfId="0" applyNumberFormat="1" applyFont="1" applyBorder="1" applyAlignment="1">
      <alignment horizontal="center"/>
    </xf>
    <xf numFmtId="3" fontId="30" fillId="0" borderId="4" xfId="0" applyNumberFormat="1" applyFont="1" applyFill="1" applyBorder="1" applyAlignment="1">
      <alignment horizontal="center"/>
    </xf>
    <xf numFmtId="0" fontId="64" fillId="0" borderId="4" xfId="0" applyFont="1" applyBorder="1" applyProtection="1">
      <protection locked="0"/>
    </xf>
    <xf numFmtId="17" fontId="64" fillId="0" borderId="4" xfId="0" applyNumberFormat="1" applyFont="1" applyBorder="1" applyProtection="1">
      <protection locked="0"/>
    </xf>
    <xf numFmtId="0" fontId="64" fillId="0" borderId="4" xfId="0" applyFont="1" applyBorder="1" applyProtection="1"/>
    <xf numFmtId="167" fontId="64" fillId="0" borderId="4" xfId="0" applyNumberFormat="1" applyFont="1" applyBorder="1" applyProtection="1">
      <protection locked="0"/>
    </xf>
    <xf numFmtId="0" fontId="12" fillId="0" borderId="4" xfId="0" applyFont="1" applyBorder="1"/>
    <xf numFmtId="168" fontId="7" fillId="0" borderId="0" xfId="2664" applyNumberFormat="1" applyFont="1"/>
    <xf numFmtId="0" fontId="0" fillId="0" borderId="0" xfId="0" applyFont="1" applyBorder="1"/>
    <xf numFmtId="10" fontId="7" fillId="81" borderId="4" xfId="2664" applyNumberFormat="1" applyFont="1" applyFill="1" applyBorder="1" applyAlignment="1" applyProtection="1">
      <alignment horizontal="center"/>
    </xf>
    <xf numFmtId="10" fontId="7" fillId="72" borderId="57" xfId="2664" applyNumberFormat="1" applyFont="1" applyFill="1" applyBorder="1" applyAlignment="1" applyProtection="1">
      <alignment horizontal="center"/>
    </xf>
    <xf numFmtId="3" fontId="29" fillId="61" borderId="4" xfId="0" applyNumberFormat="1" applyFont="1" applyFill="1" applyBorder="1" applyAlignment="1" applyProtection="1">
      <alignment horizontal="center"/>
    </xf>
    <xf numFmtId="3" fontId="29" fillId="61" borderId="4" xfId="0" applyNumberFormat="1" applyFont="1" applyFill="1" applyBorder="1" applyAlignment="1" applyProtection="1">
      <alignment horizontal="center"/>
      <protection locked="0"/>
    </xf>
    <xf numFmtId="9" fontId="8" fillId="72" borderId="4" xfId="2664" applyFont="1" applyFill="1" applyBorder="1" applyAlignment="1" applyProtection="1">
      <alignment horizontal="center"/>
    </xf>
    <xf numFmtId="1" fontId="7" fillId="52" borderId="4" xfId="0" applyNumberFormat="1" applyFont="1" applyFill="1" applyBorder="1" applyAlignment="1" applyProtection="1">
      <alignment horizontal="center" vertical="center" wrapText="1" shrinkToFit="1"/>
    </xf>
    <xf numFmtId="2" fontId="7" fillId="52" borderId="4" xfId="0" applyNumberFormat="1" applyFont="1" applyFill="1" applyBorder="1" applyAlignment="1" applyProtection="1">
      <alignment horizontal="center" vertical="center" wrapText="1" shrinkToFit="1"/>
    </xf>
    <xf numFmtId="167" fontId="7" fillId="52" borderId="4" xfId="0" applyNumberFormat="1" applyFont="1" applyFill="1" applyBorder="1" applyAlignment="1" applyProtection="1">
      <alignment horizontal="center" vertical="center" wrapText="1" shrinkToFit="1"/>
    </xf>
    <xf numFmtId="169" fontId="8" fillId="52" borderId="4" xfId="2664" applyNumberFormat="1" applyFont="1" applyFill="1" applyBorder="1" applyAlignment="1">
      <alignment horizontal="center"/>
    </xf>
    <xf numFmtId="171" fontId="8" fillId="83" borderId="4" xfId="0" applyNumberFormat="1" applyFont="1" applyFill="1" applyBorder="1" applyAlignment="1" applyProtection="1">
      <alignment horizontal="center" wrapText="1"/>
      <protection locked="0"/>
    </xf>
    <xf numFmtId="2" fontId="7" fillId="52" borderId="4" xfId="0" applyNumberFormat="1" applyFont="1" applyFill="1" applyBorder="1" applyProtection="1">
      <protection locked="0"/>
    </xf>
    <xf numFmtId="4" fontId="7" fillId="52" borderId="4" xfId="0" applyNumberFormat="1" applyFont="1" applyFill="1" applyBorder="1" applyAlignment="1" applyProtection="1">
      <protection locked="0"/>
    </xf>
    <xf numFmtId="0" fontId="0" fillId="52" borderId="4" xfId="0" applyFont="1" applyFill="1" applyBorder="1" applyAlignment="1"/>
    <xf numFmtId="4" fontId="8" fillId="52" borderId="4" xfId="0" applyNumberFormat="1" applyFont="1" applyFill="1" applyBorder="1" applyAlignment="1" applyProtection="1">
      <alignment horizontal="center"/>
      <protection locked="0"/>
    </xf>
    <xf numFmtId="0" fontId="154" fillId="0" borderId="0" xfId="717"/>
    <xf numFmtId="0" fontId="154" fillId="72" borderId="0" xfId="717" applyFill="1"/>
    <xf numFmtId="0" fontId="64" fillId="0" borderId="0" xfId="717" applyFont="1"/>
    <xf numFmtId="0" fontId="149" fillId="0" borderId="0" xfId="717" applyFont="1"/>
    <xf numFmtId="0" fontId="14" fillId="0" borderId="4" xfId="717" applyFont="1" applyBorder="1"/>
    <xf numFmtId="0" fontId="11" fillId="80" borderId="4" xfId="631" applyFont="1" applyFill="1" applyBorder="1" applyAlignment="1">
      <alignment horizontal="center" vertical="center" wrapText="1"/>
    </xf>
    <xf numFmtId="0" fontId="11" fillId="0" borderId="4" xfId="631" applyFont="1" applyBorder="1" applyAlignment="1">
      <alignment horizontal="center" vertical="center" wrapText="1"/>
    </xf>
    <xf numFmtId="0" fontId="150" fillId="0" borderId="57" xfId="609" applyFont="1" applyBorder="1" applyAlignment="1"/>
    <xf numFmtId="0" fontId="150" fillId="0" borderId="28" xfId="609" applyFont="1" applyBorder="1" applyAlignment="1"/>
    <xf numFmtId="0" fontId="150" fillId="0" borderId="29" xfId="609" applyFont="1" applyBorder="1" applyAlignment="1"/>
    <xf numFmtId="0" fontId="19" fillId="0" borderId="4" xfId="620" applyFont="1" applyBorder="1"/>
    <xf numFmtId="0" fontId="14" fillId="0" borderId="4" xfId="717" applyFont="1" applyBorder="1" applyAlignment="1">
      <alignment horizontal="center" vertical="center"/>
    </xf>
    <xf numFmtId="0" fontId="14" fillId="0" borderId="4" xfId="717" applyFont="1" applyBorder="1" applyAlignment="1">
      <alignment horizontal="left" indent="1"/>
    </xf>
    <xf numFmtId="0" fontId="14" fillId="0" borderId="4" xfId="717" applyFont="1" applyBorder="1" applyAlignment="1">
      <alignment horizontal="center"/>
    </xf>
    <xf numFmtId="199" fontId="14" fillId="80" borderId="4" xfId="2747" applyNumberFormat="1" applyFont="1" applyFill="1" applyBorder="1" applyAlignment="1">
      <alignment horizontal="center" vertical="center"/>
    </xf>
    <xf numFmtId="9" fontId="14" fillId="0" borderId="4" xfId="2666" applyFont="1" applyBorder="1" applyAlignment="1">
      <alignment horizontal="center" vertical="center"/>
    </xf>
    <xf numFmtId="3" fontId="14" fillId="0" borderId="4" xfId="717" applyNumberFormat="1" applyFont="1" applyBorder="1" applyAlignment="1">
      <alignment horizontal="center" vertical="center"/>
    </xf>
    <xf numFmtId="0" fontId="11" fillId="0" borderId="4" xfId="661" applyFont="1" applyBorder="1"/>
    <xf numFmtId="0" fontId="11" fillId="0" borderId="4" xfId="661" applyFont="1" applyBorder="1" applyAlignment="1">
      <alignment horizontal="center"/>
    </xf>
    <xf numFmtId="199" fontId="11" fillId="0" borderId="4" xfId="2747" applyNumberFormat="1" applyFont="1" applyBorder="1" applyAlignment="1">
      <alignment horizontal="center" vertical="center"/>
    </xf>
    <xf numFmtId="9" fontId="11" fillId="0" borderId="4" xfId="661" applyNumberFormat="1" applyFont="1" applyBorder="1" applyAlignment="1">
      <alignment horizontal="center" vertical="center"/>
    </xf>
    <xf numFmtId="3" fontId="11" fillId="0" borderId="4" xfId="2747" applyNumberFormat="1" applyFont="1" applyBorder="1" applyAlignment="1">
      <alignment horizontal="center" vertical="center"/>
    </xf>
    <xf numFmtId="9" fontId="11" fillId="0" borderId="4" xfId="2666" applyFont="1" applyBorder="1" applyAlignment="1">
      <alignment horizontal="center" vertical="center"/>
    </xf>
    <xf numFmtId="0" fontId="11" fillId="0" borderId="4" xfId="631" applyFont="1" applyBorder="1"/>
    <xf numFmtId="0" fontId="11" fillId="0" borderId="4" xfId="631" applyFont="1" applyBorder="1" applyAlignment="1">
      <alignment horizontal="center"/>
    </xf>
    <xf numFmtId="199" fontId="14" fillId="0" borderId="4" xfId="2747" applyNumberFormat="1" applyFont="1" applyBorder="1" applyAlignment="1">
      <alignment horizontal="center" vertical="center"/>
    </xf>
    <xf numFmtId="0" fontId="14" fillId="0" borderId="4" xfId="717" applyFont="1" applyBorder="1" applyAlignment="1">
      <alignment horizontal="left" wrapText="1" indent="1"/>
    </xf>
    <xf numFmtId="0" fontId="150" fillId="0" borderId="4" xfId="609" applyFont="1" applyBorder="1"/>
    <xf numFmtId="0" fontId="150" fillId="0" borderId="4" xfId="609" applyFont="1" applyBorder="1" applyAlignment="1">
      <alignment horizontal="center"/>
    </xf>
    <xf numFmtId="199" fontId="150" fillId="0" borderId="4" xfId="2747" applyNumberFormat="1" applyFont="1" applyBorder="1" applyAlignment="1">
      <alignment horizontal="center" vertical="center"/>
    </xf>
    <xf numFmtId="9" fontId="150" fillId="0" borderId="4" xfId="609" applyNumberFormat="1" applyFont="1" applyBorder="1" applyAlignment="1">
      <alignment horizontal="center" vertical="center"/>
    </xf>
    <xf numFmtId="3" fontId="150" fillId="0" borderId="4" xfId="2747" applyNumberFormat="1" applyFont="1" applyBorder="1" applyAlignment="1">
      <alignment horizontal="center" vertical="center"/>
    </xf>
    <xf numFmtId="9" fontId="150" fillId="0" borderId="4" xfId="2666" applyFont="1" applyBorder="1" applyAlignment="1">
      <alignment horizontal="center" vertical="center"/>
    </xf>
    <xf numFmtId="0" fontId="154" fillId="0" borderId="0" xfId="717" applyAlignment="1">
      <alignment horizontal="center"/>
    </xf>
    <xf numFmtId="0" fontId="154" fillId="0" borderId="0" xfId="717" applyAlignment="1">
      <alignment horizontal="center" vertical="center"/>
    </xf>
    <xf numFmtId="3" fontId="154" fillId="0" borderId="0" xfId="717" applyNumberFormat="1" applyAlignment="1">
      <alignment horizontal="center" vertical="center"/>
    </xf>
    <xf numFmtId="0" fontId="150" fillId="0" borderId="57" xfId="609" applyFont="1" applyBorder="1"/>
    <xf numFmtId="0" fontId="150" fillId="0" borderId="28" xfId="609" applyFont="1" applyBorder="1" applyAlignment="1">
      <alignment horizontal="center"/>
    </xf>
    <xf numFmtId="0" fontId="14" fillId="0" borderId="28" xfId="717" applyFont="1" applyBorder="1" applyAlignment="1">
      <alignment horizontal="center" vertical="center"/>
    </xf>
    <xf numFmtId="3" fontId="14" fillId="0" borderId="28" xfId="717" applyNumberFormat="1" applyFont="1" applyBorder="1" applyAlignment="1">
      <alignment horizontal="center" vertical="center"/>
    </xf>
    <xf numFmtId="0" fontId="14" fillId="0" borderId="29" xfId="717" applyFont="1" applyBorder="1" applyAlignment="1">
      <alignment horizontal="center" vertical="center"/>
    </xf>
    <xf numFmtId="0" fontId="19" fillId="0" borderId="4" xfId="620" applyFont="1" applyBorder="1" applyAlignment="1">
      <alignment horizontal="center"/>
    </xf>
    <xf numFmtId="0" fontId="14" fillId="0" borderId="4" xfId="717" applyFont="1" applyBorder="1" applyAlignment="1">
      <alignment horizontal="left" wrapText="1"/>
    </xf>
    <xf numFmtId="0" fontId="14" fillId="0" borderId="4" xfId="717" applyFont="1" applyBorder="1" applyAlignment="1">
      <alignment horizontal="center" wrapText="1"/>
    </xf>
    <xf numFmtId="0" fontId="11" fillId="0" borderId="4" xfId="661" applyFont="1" applyBorder="1" applyAlignment="1">
      <alignment wrapText="1"/>
    </xf>
    <xf numFmtId="0" fontId="11" fillId="0" borderId="4" xfId="661" applyFont="1" applyBorder="1" applyAlignment="1">
      <alignment horizontal="center" wrapText="1"/>
    </xf>
    <xf numFmtId="0" fontId="19" fillId="0" borderId="4" xfId="620" applyFont="1" applyBorder="1" applyAlignment="1">
      <alignment wrapText="1"/>
    </xf>
    <xf numFmtId="0" fontId="19" fillId="0" borderId="4" xfId="620" applyFont="1" applyBorder="1" applyAlignment="1">
      <alignment horizontal="center" wrapText="1"/>
    </xf>
    <xf numFmtId="0" fontId="149" fillId="0" borderId="0" xfId="717" applyFont="1" applyAlignment="1">
      <alignment horizontal="center"/>
    </xf>
    <xf numFmtId="0" fontId="11" fillId="72" borderId="4" xfId="511" applyFont="1" applyFill="1" applyBorder="1" applyAlignment="1">
      <alignment horizontal="left" vertical="center"/>
    </xf>
    <xf numFmtId="0" fontId="11" fillId="72" borderId="4" xfId="511" applyFont="1" applyFill="1" applyBorder="1" applyAlignment="1">
      <alignment horizontal="center" vertical="center"/>
    </xf>
    <xf numFmtId="0" fontId="11" fillId="80" borderId="4" xfId="511" applyFont="1" applyFill="1" applyBorder="1" applyAlignment="1">
      <alignment horizontal="center" vertical="center"/>
    </xf>
    <xf numFmtId="0" fontId="11" fillId="72" borderId="4" xfId="511" applyFont="1" applyFill="1" applyBorder="1" applyAlignment="1">
      <alignment horizontal="center" vertical="center" wrapText="1"/>
    </xf>
    <xf numFmtId="3" fontId="14" fillId="80" borderId="4" xfId="2650" applyNumberFormat="1" applyFont="1" applyFill="1" applyBorder="1" applyAlignment="1">
      <alignment horizontal="center" vertical="center"/>
    </xf>
    <xf numFmtId="3" fontId="14" fillId="72" borderId="4" xfId="2650" applyNumberFormat="1" applyFont="1" applyFill="1" applyBorder="1" applyAlignment="1">
      <alignment horizontal="center" vertical="center"/>
    </xf>
    <xf numFmtId="9" fontId="14" fillId="72" borderId="4" xfId="2666" applyFont="1" applyFill="1" applyBorder="1" applyAlignment="1">
      <alignment horizontal="center" vertical="center"/>
    </xf>
    <xf numFmtId="9" fontId="14" fillId="72" borderId="4" xfId="2650" applyNumberFormat="1" applyFont="1" applyFill="1" applyBorder="1" applyAlignment="1">
      <alignment horizontal="center" vertical="center"/>
    </xf>
    <xf numFmtId="3" fontId="11" fillId="0" borderId="4" xfId="631" applyNumberFormat="1" applyFont="1" applyBorder="1" applyAlignment="1">
      <alignment horizontal="center" vertical="center"/>
    </xf>
    <xf numFmtId="3" fontId="11" fillId="72" borderId="4" xfId="631" applyNumberFormat="1" applyFont="1" applyFill="1" applyBorder="1" applyAlignment="1">
      <alignment horizontal="center" vertical="center"/>
    </xf>
    <xf numFmtId="9" fontId="11" fillId="72" borderId="4" xfId="2666" applyFont="1" applyFill="1" applyBorder="1" applyAlignment="1">
      <alignment horizontal="center" vertical="center"/>
    </xf>
    <xf numFmtId="9" fontId="11" fillId="72" borderId="4" xfId="631" applyNumberFormat="1" applyFont="1" applyFill="1" applyBorder="1" applyAlignment="1">
      <alignment horizontal="center" vertical="center"/>
    </xf>
    <xf numFmtId="3" fontId="14" fillId="80" borderId="4" xfId="717" applyNumberFormat="1" applyFont="1" applyFill="1" applyBorder="1" applyAlignment="1">
      <alignment horizontal="center" vertical="center"/>
    </xf>
    <xf numFmtId="3" fontId="14" fillId="72" borderId="4" xfId="717" applyNumberFormat="1" applyFont="1" applyFill="1" applyBorder="1" applyAlignment="1">
      <alignment horizontal="center" vertical="center"/>
    </xf>
    <xf numFmtId="9" fontId="14" fillId="72" borderId="4" xfId="717" applyNumberFormat="1" applyFont="1" applyFill="1" applyBorder="1" applyAlignment="1">
      <alignment horizontal="center" vertical="center"/>
    </xf>
    <xf numFmtId="0" fontId="7" fillId="0" borderId="4" xfId="717" applyFont="1" applyBorder="1" applyAlignment="1">
      <alignment wrapText="1"/>
    </xf>
    <xf numFmtId="3" fontId="7" fillId="80" borderId="4" xfId="717" applyNumberFormat="1" applyFont="1" applyFill="1" applyBorder="1" applyAlignment="1">
      <alignment horizontal="center" vertical="center"/>
    </xf>
    <xf numFmtId="3" fontId="7" fillId="72" borderId="4" xfId="717" applyNumberFormat="1" applyFont="1" applyFill="1" applyBorder="1" applyAlignment="1">
      <alignment horizontal="center" vertical="center"/>
    </xf>
    <xf numFmtId="9" fontId="7" fillId="72" borderId="4" xfId="2666" applyFont="1" applyFill="1" applyBorder="1" applyAlignment="1">
      <alignment horizontal="center" vertical="center"/>
    </xf>
    <xf numFmtId="9" fontId="7" fillId="72" borderId="4" xfId="717" applyNumberFormat="1" applyFont="1" applyFill="1" applyBorder="1" applyAlignment="1">
      <alignment horizontal="center" vertical="center"/>
    </xf>
    <xf numFmtId="3" fontId="14" fillId="61" borderId="4" xfId="717" applyNumberFormat="1" applyFont="1" applyFill="1" applyBorder="1" applyAlignment="1">
      <alignment horizontal="center" vertical="center"/>
    </xf>
    <xf numFmtId="3" fontId="11" fillId="0" borderId="4" xfId="661" applyNumberFormat="1" applyFont="1" applyBorder="1" applyAlignment="1">
      <alignment horizontal="center" vertical="center"/>
    </xf>
    <xf numFmtId="3" fontId="11" fillId="72" borderId="4" xfId="661" applyNumberFormat="1" applyFont="1" applyFill="1" applyBorder="1" applyAlignment="1">
      <alignment horizontal="center" vertical="center"/>
    </xf>
    <xf numFmtId="9" fontId="11" fillId="72" borderId="4" xfId="66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26" fillId="0" borderId="64" xfId="0" applyFont="1" applyBorder="1" applyAlignment="1">
      <alignment horizontal="justify" vertical="top" wrapText="1"/>
    </xf>
    <xf numFmtId="0" fontId="27" fillId="0" borderId="4" xfId="0" applyFont="1" applyBorder="1"/>
    <xf numFmtId="0" fontId="11" fillId="0" borderId="4" xfId="0" applyFont="1" applyFill="1" applyBorder="1" applyAlignment="1">
      <alignment horizontal="center" wrapText="1"/>
    </xf>
    <xf numFmtId="0" fontId="33" fillId="0" borderId="0" xfId="0" applyNumberFormat="1" applyFont="1" applyFill="1" applyBorder="1" applyAlignment="1">
      <alignment horizontal="left" vertical="center"/>
    </xf>
    <xf numFmtId="0" fontId="27" fillId="0" borderId="4" xfId="0" applyFont="1" applyBorder="1" applyAlignment="1">
      <alignment wrapText="1"/>
    </xf>
    <xf numFmtId="0" fontId="9" fillId="0" borderId="57" xfId="0" applyFont="1" applyBorder="1" applyAlignment="1">
      <alignment horizontal="left" vertical="center" wrapText="1"/>
    </xf>
    <xf numFmtId="0" fontId="0" fillId="0" borderId="29" xfId="0" applyBorder="1"/>
    <xf numFmtId="166" fontId="7" fillId="3" borderId="4" xfId="0" applyNumberFormat="1" applyFont="1" applyFill="1" applyBorder="1" applyProtection="1">
      <protection locked="0"/>
    </xf>
    <xf numFmtId="166" fontId="7" fillId="57" borderId="4" xfId="0" applyNumberFormat="1" applyFont="1" applyFill="1" applyBorder="1" applyProtection="1">
      <protection locked="0"/>
    </xf>
    <xf numFmtId="166" fontId="7" fillId="3" borderId="4" xfId="604" applyNumberFormat="1" applyFont="1" applyFill="1" applyBorder="1" applyAlignment="1" applyProtection="1">
      <alignment horizontal="right"/>
      <protection locked="0"/>
    </xf>
    <xf numFmtId="171" fontId="16" fillId="86" borderId="4" xfId="2617" applyNumberFormat="1" applyFont="1" applyFill="1" applyBorder="1" applyProtection="1">
      <protection locked="0"/>
    </xf>
    <xf numFmtId="0" fontId="0" fillId="86" borderId="31" xfId="0" applyFill="1" applyBorder="1"/>
    <xf numFmtId="171" fontId="16" fillId="86" borderId="32" xfId="2617" applyNumberFormat="1" applyFont="1" applyFill="1" applyBorder="1" applyProtection="1">
      <protection locked="0"/>
    </xf>
    <xf numFmtId="166" fontId="0" fillId="86" borderId="0" xfId="0" applyNumberFormat="1" applyFill="1"/>
    <xf numFmtId="166" fontId="0" fillId="86" borderId="42" xfId="0" applyNumberFormat="1" applyFill="1" applyBorder="1"/>
    <xf numFmtId="0" fontId="7" fillId="0" borderId="19" xfId="719" applyFont="1" applyBorder="1" applyAlignment="1">
      <alignment horizontal="right" vertical="center"/>
    </xf>
    <xf numFmtId="0" fontId="7" fillId="0" borderId="19" xfId="719" applyFont="1" applyBorder="1" applyAlignment="1">
      <alignment vertical="center"/>
    </xf>
    <xf numFmtId="0" fontId="7" fillId="0" borderId="19" xfId="719" applyFont="1" applyBorder="1" applyAlignment="1">
      <alignment horizontal="center" vertical="center"/>
    </xf>
    <xf numFmtId="49" fontId="7" fillId="0" borderId="45" xfId="719" applyNumberFormat="1" applyFont="1" applyBorder="1" applyAlignment="1">
      <alignment horizontal="center" vertical="center" wrapText="1"/>
    </xf>
    <xf numFmtId="49" fontId="8" fillId="0" borderId="2" xfId="719" applyNumberFormat="1" applyFont="1" applyBorder="1" applyAlignment="1">
      <alignment horizontal="center" vertical="center" wrapText="1"/>
    </xf>
    <xf numFmtId="49" fontId="7" fillId="0" borderId="2" xfId="719" applyNumberFormat="1" applyFont="1" applyBorder="1" applyAlignment="1">
      <alignment horizontal="center" vertical="center" wrapText="1"/>
    </xf>
    <xf numFmtId="49" fontId="8" fillId="0" borderId="46" xfId="719" applyNumberFormat="1" applyFont="1" applyBorder="1" applyAlignment="1">
      <alignment horizontal="center" vertical="center" wrapText="1"/>
    </xf>
    <xf numFmtId="0" fontId="7" fillId="0" borderId="0" xfId="719" applyFont="1" applyAlignment="1">
      <alignment vertical="center"/>
    </xf>
    <xf numFmtId="0" fontId="3" fillId="0" borderId="0" xfId="719" applyFont="1" applyAlignment="1">
      <alignment vertical="center"/>
    </xf>
    <xf numFmtId="0" fontId="8" fillId="2" borderId="88" xfId="2616" applyFont="1" applyFill="1" applyBorder="1" applyAlignment="1" applyProtection="1">
      <alignment horizontal="center" vertical="center" wrapText="1"/>
    </xf>
    <xf numFmtId="0" fontId="8" fillId="2" borderId="0" xfId="2616" applyFont="1" applyFill="1" applyBorder="1" applyAlignment="1" applyProtection="1">
      <alignment horizontal="center" vertical="center" wrapText="1"/>
    </xf>
    <xf numFmtId="0" fontId="7" fillId="0" borderId="89" xfId="2616" applyFont="1" applyBorder="1" applyAlignment="1" applyProtection="1">
      <alignment horizontal="center" vertical="center" wrapText="1"/>
    </xf>
    <xf numFmtId="0" fontId="7" fillId="0" borderId="89" xfId="2616" applyFont="1" applyFill="1" applyBorder="1" applyAlignment="1" applyProtection="1">
      <alignment vertical="center" wrapText="1"/>
    </xf>
    <xf numFmtId="0" fontId="7" fillId="0" borderId="90" xfId="2616" applyFont="1" applyBorder="1" applyAlignment="1" applyProtection="1">
      <alignment horizontal="center" vertical="center" wrapText="1"/>
    </xf>
    <xf numFmtId="166" fontId="7" fillId="87" borderId="25" xfId="719" applyNumberFormat="1" applyFont="1" applyFill="1" applyBorder="1" applyAlignment="1">
      <alignment horizontal="right" vertical="center"/>
    </xf>
    <xf numFmtId="166" fontId="7" fillId="87" borderId="30" xfId="719" applyNumberFormat="1" applyFont="1" applyFill="1" applyBorder="1" applyAlignment="1">
      <alignment horizontal="right" vertical="center"/>
    </xf>
    <xf numFmtId="166" fontId="160" fillId="87" borderId="30" xfId="719" applyNumberFormat="1" applyFont="1" applyFill="1" applyBorder="1" applyAlignment="1">
      <alignment horizontal="right" vertical="center" wrapText="1"/>
    </xf>
    <xf numFmtId="166" fontId="7" fillId="87" borderId="30" xfId="719" applyNumberFormat="1" applyFont="1" applyFill="1" applyBorder="1" applyAlignment="1">
      <alignment horizontal="center" vertical="center"/>
    </xf>
    <xf numFmtId="166" fontId="7" fillId="87" borderId="31" xfId="719" applyNumberFormat="1" applyFont="1" applyFill="1" applyBorder="1" applyAlignment="1">
      <alignment horizontal="center" vertical="center"/>
    </xf>
    <xf numFmtId="0" fontId="7" fillId="0" borderId="91" xfId="2616" applyFont="1" applyBorder="1" applyAlignment="1" applyProtection="1">
      <alignment horizontal="center" vertical="center" wrapText="1"/>
    </xf>
    <xf numFmtId="0" fontId="7" fillId="0" borderId="91" xfId="2616" applyFont="1" applyFill="1" applyBorder="1" applyAlignment="1" applyProtection="1">
      <alignment vertical="center" wrapText="1"/>
    </xf>
    <xf numFmtId="0" fontId="7" fillId="0" borderId="92" xfId="2616" applyFont="1" applyBorder="1" applyAlignment="1" applyProtection="1">
      <alignment horizontal="center" vertical="center" wrapText="1"/>
    </xf>
    <xf numFmtId="166" fontId="7" fillId="87" borderId="33" xfId="719" applyNumberFormat="1" applyFont="1" applyFill="1" applyBorder="1" applyAlignment="1">
      <alignment horizontal="right" vertical="center"/>
    </xf>
    <xf numFmtId="166" fontId="7" fillId="87" borderId="4" xfId="719" applyNumberFormat="1" applyFont="1" applyFill="1" applyBorder="1" applyAlignment="1">
      <alignment horizontal="right" vertical="center"/>
    </xf>
    <xf numFmtId="166" fontId="160" fillId="87" borderId="4" xfId="719" applyNumberFormat="1" applyFont="1" applyFill="1" applyBorder="1" applyAlignment="1">
      <alignment horizontal="right" vertical="center" wrapText="1"/>
    </xf>
    <xf numFmtId="166" fontId="7" fillId="87" borderId="4" xfId="719" applyNumberFormat="1" applyFont="1" applyFill="1" applyBorder="1" applyAlignment="1">
      <alignment horizontal="center" vertical="center"/>
    </xf>
    <xf numFmtId="166" fontId="7" fillId="87" borderId="32" xfId="719" applyNumberFormat="1" applyFont="1" applyFill="1" applyBorder="1" applyAlignment="1">
      <alignment horizontal="center" vertical="center"/>
    </xf>
    <xf numFmtId="0" fontId="7" fillId="0" borderId="91" xfId="2616" applyFont="1" applyFill="1" applyBorder="1" applyAlignment="1" applyProtection="1">
      <alignment horizontal="left" vertical="center" wrapText="1" indent="1"/>
    </xf>
    <xf numFmtId="166" fontId="7" fillId="88" borderId="33" xfId="719" applyNumberFormat="1" applyFont="1" applyFill="1" applyBorder="1" applyAlignment="1">
      <alignment horizontal="right" vertical="center"/>
    </xf>
    <xf numFmtId="166" fontId="7" fillId="88" borderId="4" xfId="719" applyNumberFormat="1" applyFont="1" applyFill="1" applyBorder="1" applyAlignment="1">
      <alignment horizontal="right" vertical="center"/>
    </xf>
    <xf numFmtId="166" fontId="7" fillId="0" borderId="33" xfId="719" applyNumberFormat="1" applyFont="1" applyFill="1" applyBorder="1" applyAlignment="1">
      <alignment horizontal="right" vertical="center"/>
    </xf>
    <xf numFmtId="0" fontId="7" fillId="0" borderId="91" xfId="2616" applyFont="1" applyBorder="1" applyAlignment="1" applyProtection="1">
      <alignment vertical="center" wrapText="1"/>
    </xf>
    <xf numFmtId="0" fontId="7" fillId="0" borderId="92" xfId="2616" applyFont="1" applyBorder="1" applyAlignment="1" applyProtection="1">
      <alignment horizontal="center" vertical="center"/>
    </xf>
    <xf numFmtId="10" fontId="7" fillId="87" borderId="33" xfId="2668" applyNumberFormat="1" applyFont="1" applyFill="1" applyBorder="1" applyAlignment="1">
      <alignment horizontal="right" vertical="center"/>
    </xf>
    <xf numFmtId="10" fontId="7" fillId="87" borderId="4" xfId="2668" applyNumberFormat="1" applyFont="1" applyFill="1" applyBorder="1" applyAlignment="1">
      <alignment horizontal="right" vertical="center"/>
    </xf>
    <xf numFmtId="10" fontId="7" fillId="87" borderId="4" xfId="2668" applyNumberFormat="1" applyFont="1" applyFill="1" applyBorder="1" applyAlignment="1">
      <alignment horizontal="center" vertical="center"/>
    </xf>
    <xf numFmtId="10" fontId="7" fillId="87" borderId="32" xfId="2668" applyNumberFormat="1" applyFont="1" applyFill="1" applyBorder="1" applyAlignment="1">
      <alignment horizontal="center" vertical="center"/>
    </xf>
    <xf numFmtId="0" fontId="7" fillId="0" borderId="91" xfId="2616" applyFont="1" applyBorder="1" applyAlignment="1" applyProtection="1">
      <alignment horizontal="left" vertical="center" wrapText="1" indent="1"/>
    </xf>
    <xf numFmtId="166" fontId="7" fillId="0" borderId="4" xfId="719" applyNumberFormat="1" applyFont="1" applyFill="1" applyBorder="1" applyAlignment="1">
      <alignment horizontal="right" vertical="center"/>
    </xf>
    <xf numFmtId="49" fontId="7" fillId="0" borderId="93" xfId="2616" applyNumberFormat="1" applyFont="1" applyBorder="1" applyAlignment="1" applyProtection="1">
      <alignment horizontal="center" vertical="center" wrapText="1"/>
    </xf>
    <xf numFmtId="0" fontId="7" fillId="0" borderId="93" xfId="2616" applyFont="1" applyFill="1" applyBorder="1" applyAlignment="1" applyProtection="1">
      <alignment vertical="center" wrapText="1"/>
    </xf>
    <xf numFmtId="0" fontId="7" fillId="0" borderId="94" xfId="2616" applyFont="1" applyBorder="1" applyAlignment="1" applyProtection="1">
      <alignment horizontal="center" vertical="center" wrapText="1"/>
    </xf>
    <xf numFmtId="0" fontId="7" fillId="0" borderId="95" xfId="719" applyFont="1" applyBorder="1" applyAlignment="1">
      <alignment vertical="center"/>
    </xf>
    <xf numFmtId="166" fontId="7" fillId="0" borderId="96" xfId="719" applyNumberFormat="1" applyFont="1" applyBorder="1" applyAlignment="1">
      <alignment vertical="center"/>
    </xf>
    <xf numFmtId="166" fontId="7" fillId="0" borderId="96" xfId="719" applyNumberFormat="1" applyFont="1" applyBorder="1" applyAlignment="1">
      <alignment horizontal="right" vertical="center"/>
    </xf>
    <xf numFmtId="166" fontId="7" fillId="87" borderId="96" xfId="719" applyNumberFormat="1" applyFont="1" applyFill="1" applyBorder="1" applyAlignment="1">
      <alignment horizontal="center" vertical="center"/>
    </xf>
    <xf numFmtId="166" fontId="7" fillId="87" borderId="97" xfId="719" applyNumberFormat="1" applyFont="1" applyFill="1" applyBorder="1" applyAlignment="1">
      <alignment horizontal="center" vertical="center"/>
    </xf>
    <xf numFmtId="0" fontId="8" fillId="2" borderId="0" xfId="2616" applyFont="1" applyFill="1" applyBorder="1" applyAlignment="1" applyProtection="1">
      <alignment horizontal="center" vertical="center"/>
    </xf>
    <xf numFmtId="0" fontId="7" fillId="69" borderId="50" xfId="719" applyFont="1" applyFill="1" applyBorder="1" applyAlignment="1">
      <alignment vertical="center"/>
    </xf>
    <xf numFmtId="166" fontId="7" fillId="69" borderId="53" xfId="719" applyNumberFormat="1" applyFont="1" applyFill="1" applyBorder="1" applyAlignment="1">
      <alignment vertical="center"/>
    </xf>
    <xf numFmtId="166" fontId="7" fillId="69" borderId="53" xfId="719" applyNumberFormat="1" applyFont="1" applyFill="1" applyBorder="1" applyAlignment="1">
      <alignment horizontal="center" vertical="center"/>
    </xf>
    <xf numFmtId="166" fontId="7" fillId="69" borderId="51" xfId="719" applyNumberFormat="1" applyFont="1" applyFill="1" applyBorder="1" applyAlignment="1">
      <alignment vertical="center"/>
    </xf>
    <xf numFmtId="166" fontId="7" fillId="87" borderId="98" xfId="719" applyNumberFormat="1" applyFont="1" applyFill="1" applyBorder="1" applyAlignment="1">
      <alignment horizontal="right" vertical="center"/>
    </xf>
    <xf numFmtId="166" fontId="7" fillId="87" borderId="99" xfId="719" applyNumberFormat="1" applyFont="1" applyFill="1" applyBorder="1" applyAlignment="1">
      <alignment horizontal="right" vertical="center"/>
    </xf>
    <xf numFmtId="166" fontId="160" fillId="87" borderId="99" xfId="719" applyNumberFormat="1" applyFont="1" applyFill="1" applyBorder="1" applyAlignment="1">
      <alignment horizontal="right" vertical="center" wrapText="1"/>
    </xf>
    <xf numFmtId="49" fontId="7" fillId="0" borderId="91" xfId="2616" applyNumberFormat="1" applyFont="1" applyBorder="1" applyAlignment="1" applyProtection="1">
      <alignment horizontal="center" vertical="center" wrapText="1"/>
    </xf>
    <xf numFmtId="166" fontId="7" fillId="87" borderId="57" xfId="719" applyNumberFormat="1" applyFont="1" applyFill="1" applyBorder="1" applyAlignment="1">
      <alignment horizontal="right" vertical="center"/>
    </xf>
    <xf numFmtId="166" fontId="7" fillId="87" borderId="57" xfId="719" applyNumberFormat="1" applyFont="1" applyFill="1" applyBorder="1" applyAlignment="1">
      <alignment horizontal="center" vertical="center"/>
    </xf>
    <xf numFmtId="0" fontId="7" fillId="0" borderId="39" xfId="719" applyFont="1" applyBorder="1" applyAlignment="1">
      <alignment vertical="center"/>
    </xf>
    <xf numFmtId="166" fontId="7" fillId="87" borderId="40" xfId="719" applyNumberFormat="1" applyFont="1" applyFill="1" applyBorder="1" applyAlignment="1">
      <alignment horizontal="right" vertical="center"/>
    </xf>
    <xf numFmtId="166" fontId="7" fillId="0" borderId="40" xfId="719" applyNumberFormat="1" applyFont="1" applyBorder="1" applyAlignment="1">
      <alignment vertical="center"/>
    </xf>
    <xf numFmtId="166" fontId="7" fillId="0" borderId="40" xfId="719" applyNumberFormat="1" applyFont="1" applyBorder="1" applyAlignment="1">
      <alignment horizontal="right" vertical="center"/>
    </xf>
    <xf numFmtId="166" fontId="7" fillId="87" borderId="40" xfId="719" applyNumberFormat="1" applyFont="1" applyFill="1" applyBorder="1" applyAlignment="1">
      <alignment horizontal="center" vertical="center"/>
    </xf>
    <xf numFmtId="166" fontId="7" fillId="87" borderId="41" xfId="719" applyNumberFormat="1" applyFont="1" applyFill="1" applyBorder="1" applyAlignment="1">
      <alignment horizontal="center" vertical="center"/>
    </xf>
    <xf numFmtId="0" fontId="8" fillId="0" borderId="0" xfId="719" applyFont="1" applyBorder="1" applyAlignment="1">
      <alignment vertical="center"/>
    </xf>
    <xf numFmtId="0" fontId="7" fillId="0" borderId="0" xfId="719" applyFont="1" applyBorder="1" applyAlignment="1">
      <alignment vertical="center"/>
    </xf>
    <xf numFmtId="0" fontId="8" fillId="0" borderId="0" xfId="719" applyFont="1" applyBorder="1" applyAlignment="1">
      <alignment vertical="center" wrapText="1"/>
    </xf>
    <xf numFmtId="0" fontId="7" fillId="0" borderId="19" xfId="719" applyFont="1" applyBorder="1" applyAlignment="1">
      <alignment horizontal="center" vertical="top" wrapText="1"/>
    </xf>
    <xf numFmtId="0" fontId="7" fillId="0" borderId="19" xfId="719" applyFont="1" applyBorder="1" applyAlignment="1">
      <alignment vertical="top"/>
    </xf>
    <xf numFmtId="0" fontId="7" fillId="0" borderId="19" xfId="719" applyFont="1" applyBorder="1" applyAlignment="1">
      <alignment horizontal="center" vertical="top"/>
    </xf>
    <xf numFmtId="0" fontId="7" fillId="0" borderId="19" xfId="719" applyFont="1" applyBorder="1" applyAlignment="1">
      <alignment horizontal="center" vertical="center" wrapText="1"/>
    </xf>
    <xf numFmtId="49" fontId="7" fillId="0" borderId="64" xfId="719" applyNumberFormat="1" applyFont="1" applyBorder="1" applyAlignment="1">
      <alignment vertical="center"/>
    </xf>
    <xf numFmtId="0" fontId="7" fillId="0" borderId="64" xfId="719" applyFont="1" applyBorder="1" applyAlignment="1">
      <alignment vertical="center"/>
    </xf>
    <xf numFmtId="0" fontId="7" fillId="0" borderId="64" xfId="2616" applyFont="1" applyBorder="1" applyAlignment="1" applyProtection="1">
      <alignment horizontal="center" vertical="center" wrapText="1"/>
    </xf>
    <xf numFmtId="166" fontId="7" fillId="87" borderId="25" xfId="719" applyNumberFormat="1" applyFont="1" applyFill="1" applyBorder="1" applyAlignment="1">
      <alignment vertical="center"/>
    </xf>
    <xf numFmtId="49" fontId="7" fillId="0" borderId="65" xfId="719" applyNumberFormat="1" applyFont="1" applyBorder="1" applyAlignment="1">
      <alignment vertical="center"/>
    </xf>
    <xf numFmtId="0" fontId="7" fillId="0" borderId="65" xfId="719" applyFont="1" applyFill="1" applyBorder="1" applyAlignment="1">
      <alignment vertical="center"/>
    </xf>
    <xf numFmtId="0" fontId="7" fillId="0" borderId="65" xfId="2616" applyFont="1" applyBorder="1" applyAlignment="1" applyProtection="1">
      <alignment horizontal="center" vertical="center" wrapText="1"/>
    </xf>
    <xf numFmtId="169" fontId="7" fillId="88" borderId="33" xfId="719" applyNumberFormat="1" applyFont="1" applyFill="1" applyBorder="1" applyAlignment="1">
      <alignment vertical="center"/>
    </xf>
    <xf numFmtId="169" fontId="7" fillId="88" borderId="35" xfId="719" applyNumberFormat="1" applyFont="1" applyFill="1" applyBorder="1" applyAlignment="1">
      <alignment vertical="center"/>
    </xf>
    <xf numFmtId="166" fontId="7" fillId="87" borderId="33" xfId="719" applyNumberFormat="1" applyFont="1" applyFill="1" applyBorder="1" applyAlignment="1">
      <alignment vertical="center"/>
    </xf>
    <xf numFmtId="0" fontId="7" fillId="0" borderId="65" xfId="719" applyFont="1" applyBorder="1" applyAlignment="1">
      <alignment vertical="center"/>
    </xf>
    <xf numFmtId="169" fontId="7" fillId="0" borderId="33" xfId="719" applyNumberFormat="1" applyFont="1" applyFill="1" applyBorder="1" applyAlignment="1">
      <alignment vertical="center"/>
    </xf>
    <xf numFmtId="0" fontId="7" fillId="88" borderId="33" xfId="719" applyFont="1" applyFill="1" applyBorder="1" applyAlignment="1">
      <alignment vertical="center"/>
    </xf>
    <xf numFmtId="166" fontId="7" fillId="88" borderId="33" xfId="719" applyNumberFormat="1" applyFont="1" applyFill="1" applyBorder="1" applyAlignment="1">
      <alignment vertical="center"/>
    </xf>
    <xf numFmtId="0" fontId="3" fillId="88" borderId="33" xfId="719" applyFont="1" applyFill="1" applyBorder="1" applyAlignment="1">
      <alignment vertical="center"/>
    </xf>
    <xf numFmtId="166" fontId="3" fillId="88" borderId="33" xfId="719" applyNumberFormat="1" applyFont="1" applyFill="1" applyBorder="1" applyAlignment="1">
      <alignment vertical="center"/>
    </xf>
    <xf numFmtId="0" fontId="7" fillId="0" borderId="69" xfId="719" applyFont="1" applyBorder="1" applyAlignment="1">
      <alignment vertical="center"/>
    </xf>
    <xf numFmtId="0" fontId="7" fillId="0" borderId="69" xfId="2616" applyFont="1" applyBorder="1" applyAlignment="1" applyProtection="1">
      <alignment horizontal="center" vertical="center" wrapText="1"/>
    </xf>
    <xf numFmtId="166" fontId="3" fillId="88" borderId="39" xfId="719" applyNumberFormat="1" applyFont="1" applyFill="1" applyBorder="1" applyAlignment="1">
      <alignment vertical="center"/>
    </xf>
    <xf numFmtId="0" fontId="7" fillId="0" borderId="72" xfId="719" applyFont="1" applyFill="1" applyBorder="1" applyAlignment="1">
      <alignment vertical="center"/>
    </xf>
    <xf numFmtId="0" fontId="7" fillId="0" borderId="65" xfId="2616" applyFont="1" applyBorder="1" applyAlignment="1" applyProtection="1">
      <alignment horizontal="left" vertical="center" wrapText="1" indent="1"/>
    </xf>
    <xf numFmtId="0" fontId="7" fillId="0" borderId="69" xfId="2616" applyFont="1" applyBorder="1" applyAlignment="1" applyProtection="1">
      <alignment horizontal="left" vertical="center" wrapText="1" indent="1"/>
    </xf>
    <xf numFmtId="0" fontId="7" fillId="0" borderId="69" xfId="719" applyFont="1" applyFill="1" applyBorder="1" applyAlignment="1">
      <alignment vertical="center"/>
    </xf>
    <xf numFmtId="166" fontId="7" fillId="88" borderId="47" xfId="719" applyNumberFormat="1" applyFont="1" applyFill="1" applyBorder="1" applyAlignment="1">
      <alignment horizontal="right" vertical="center"/>
    </xf>
    <xf numFmtId="166" fontId="7" fillId="88" borderId="70" xfId="719" applyNumberFormat="1" applyFont="1" applyFill="1" applyBorder="1" applyAlignment="1">
      <alignment horizontal="right" vertical="center"/>
    </xf>
    <xf numFmtId="166" fontId="7" fillId="88" borderId="42" xfId="719" applyNumberFormat="1" applyFont="1" applyFill="1" applyBorder="1" applyAlignment="1">
      <alignment horizontal="right" vertical="center"/>
    </xf>
    <xf numFmtId="166" fontId="7" fillId="88" borderId="57" xfId="719" applyNumberFormat="1" applyFont="1" applyFill="1" applyBorder="1" applyAlignment="1">
      <alignment horizontal="right" vertical="center"/>
    </xf>
    <xf numFmtId="166" fontId="7" fillId="88" borderId="32" xfId="719" applyNumberFormat="1" applyFont="1" applyFill="1" applyBorder="1" applyAlignment="1">
      <alignment horizontal="right" vertical="center"/>
    </xf>
    <xf numFmtId="166" fontId="7" fillId="87" borderId="32" xfId="719" applyNumberFormat="1" applyFont="1" applyFill="1" applyBorder="1" applyAlignment="1">
      <alignment horizontal="right" vertical="center"/>
    </xf>
    <xf numFmtId="169" fontId="7" fillId="88" borderId="33" xfId="719" applyNumberFormat="1" applyFont="1" applyFill="1" applyBorder="1" applyAlignment="1">
      <alignment horizontal="right" vertical="center"/>
    </xf>
    <xf numFmtId="169" fontId="7" fillId="88" borderId="57" xfId="719" applyNumberFormat="1" applyFont="1" applyFill="1" applyBorder="1" applyAlignment="1">
      <alignment horizontal="right" vertical="center"/>
    </xf>
    <xf numFmtId="169" fontId="7" fillId="88" borderId="32" xfId="719" applyNumberFormat="1" applyFont="1" applyFill="1" applyBorder="1" applyAlignment="1">
      <alignment horizontal="right" vertical="center"/>
    </xf>
    <xf numFmtId="166" fontId="7" fillId="87" borderId="39" xfId="719" applyNumberFormat="1" applyFont="1" applyFill="1" applyBorder="1" applyAlignment="1">
      <alignment horizontal="right" vertical="center"/>
    </xf>
    <xf numFmtId="166" fontId="7" fillId="87" borderId="58" xfId="719" applyNumberFormat="1" applyFont="1" applyFill="1" applyBorder="1" applyAlignment="1">
      <alignment horizontal="right" vertical="center"/>
    </xf>
    <xf numFmtId="166" fontId="7" fillId="87" borderId="41" xfId="719" applyNumberFormat="1" applyFont="1" applyFill="1" applyBorder="1" applyAlignment="1">
      <alignment horizontal="right" vertical="center"/>
    </xf>
    <xf numFmtId="0" fontId="7" fillId="0" borderId="100" xfId="719" applyFont="1" applyFill="1" applyBorder="1" applyAlignment="1">
      <alignment vertical="center"/>
    </xf>
    <xf numFmtId="0" fontId="7" fillId="0" borderId="34" xfId="2616" applyFont="1" applyBorder="1" applyAlignment="1" applyProtection="1">
      <alignment horizontal="left" vertical="center" wrapText="1" indent="1"/>
    </xf>
    <xf numFmtId="0" fontId="7" fillId="0" borderId="34" xfId="719" applyFont="1" applyFill="1" applyBorder="1" applyAlignment="1">
      <alignment vertical="center"/>
    </xf>
    <xf numFmtId="0" fontId="7" fillId="0" borderId="36" xfId="2616" applyFont="1" applyBorder="1" applyAlignment="1" applyProtection="1">
      <alignment horizontal="left" vertical="center" wrapText="1" indent="1"/>
    </xf>
    <xf numFmtId="0" fontId="7" fillId="0" borderId="102" xfId="719" applyFont="1" applyBorder="1" applyAlignment="1">
      <alignment vertical="center"/>
    </xf>
    <xf numFmtId="0" fontId="7" fillId="0" borderId="34" xfId="719" applyFont="1" applyBorder="1" applyAlignment="1">
      <alignment vertical="center"/>
    </xf>
    <xf numFmtId="0" fontId="7" fillId="0" borderId="36" xfId="719" applyFont="1" applyBorder="1" applyAlignment="1">
      <alignment vertical="center"/>
    </xf>
    <xf numFmtId="0" fontId="8" fillId="0" borderId="0" xfId="719" applyFont="1" applyFill="1" applyBorder="1" applyAlignment="1">
      <alignment vertical="center"/>
    </xf>
    <xf numFmtId="0" fontId="3" fillId="88" borderId="65" xfId="719" applyFont="1" applyFill="1" applyBorder="1" applyAlignment="1">
      <alignment vertical="center"/>
    </xf>
    <xf numFmtId="0" fontId="3" fillId="88" borderId="106" xfId="719" applyFont="1" applyFill="1" applyBorder="1" applyAlignment="1">
      <alignment vertical="center"/>
    </xf>
    <xf numFmtId="0" fontId="3" fillId="88" borderId="69" xfId="719" applyFont="1" applyFill="1" applyBorder="1" applyAlignment="1">
      <alignment vertical="center"/>
    </xf>
    <xf numFmtId="0" fontId="161" fillId="0" borderId="0" xfId="719" applyFont="1" applyAlignment="1">
      <alignment vertical="center"/>
    </xf>
    <xf numFmtId="10" fontId="0" fillId="0" borderId="0" xfId="2668" applyNumberFormat="1" applyFont="1" applyAlignment="1">
      <alignment vertical="center"/>
    </xf>
    <xf numFmtId="166" fontId="3" fillId="0" borderId="0" xfId="719" applyNumberFormat="1" applyFont="1" applyAlignment="1">
      <alignment vertical="center"/>
    </xf>
    <xf numFmtId="1" fontId="3" fillId="0" borderId="0" xfId="719" applyNumberFormat="1" applyFont="1" applyAlignment="1">
      <alignment vertical="center"/>
    </xf>
    <xf numFmtId="166" fontId="7" fillId="87" borderId="103" xfId="719" applyNumberFormat="1" applyFont="1" applyFill="1" applyBorder="1" applyAlignment="1">
      <alignment vertical="center"/>
    </xf>
    <xf numFmtId="169" fontId="7" fillId="88" borderId="109" xfId="719" applyNumberFormat="1" applyFont="1" applyFill="1" applyBorder="1" applyAlignment="1">
      <alignment vertical="center"/>
    </xf>
    <xf numFmtId="166" fontId="7" fillId="87" borderId="34" xfId="719" applyNumberFormat="1" applyFont="1" applyFill="1" applyBorder="1" applyAlignment="1">
      <alignment vertical="center"/>
    </xf>
    <xf numFmtId="169" fontId="7" fillId="88" borderId="34" xfId="719" applyNumberFormat="1" applyFont="1" applyFill="1" applyBorder="1" applyAlignment="1">
      <alignment vertical="center"/>
    </xf>
    <xf numFmtId="166" fontId="7" fillId="88" borderId="34" xfId="719" applyNumberFormat="1" applyFont="1" applyFill="1" applyBorder="1" applyAlignment="1">
      <alignment vertical="center"/>
    </xf>
    <xf numFmtId="166" fontId="3" fillId="88" borderId="34" xfId="719" applyNumberFormat="1" applyFont="1" applyFill="1" applyBorder="1" applyAlignment="1">
      <alignment vertical="center"/>
    </xf>
    <xf numFmtId="166" fontId="3" fillId="88" borderId="36" xfId="719" applyNumberFormat="1" applyFont="1" applyFill="1" applyBorder="1" applyAlignment="1">
      <alignment vertical="center"/>
    </xf>
    <xf numFmtId="0" fontId="7" fillId="0" borderId="72" xfId="719" applyFont="1" applyBorder="1" applyAlignment="1">
      <alignment horizontal="center" vertical="center" wrapText="1"/>
    </xf>
    <xf numFmtId="0" fontId="0" fillId="0" borderId="103" xfId="0" applyBorder="1"/>
    <xf numFmtId="0" fontId="0" fillId="0" borderId="34" xfId="0" applyBorder="1"/>
    <xf numFmtId="0" fontId="0" fillId="0" borderId="36" xfId="0" applyBorder="1"/>
    <xf numFmtId="0" fontId="0" fillId="0" borderId="64" xfId="0" applyBorder="1"/>
    <xf numFmtId="0" fontId="0" fillId="0" borderId="65" xfId="0" applyBorder="1"/>
    <xf numFmtId="0" fontId="0" fillId="0" borderId="69" xfId="0" applyBorder="1"/>
    <xf numFmtId="0" fontId="9" fillId="0" borderId="5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7" fillId="87" borderId="103" xfId="719" applyNumberFormat="1" applyFont="1" applyFill="1" applyBorder="1" applyAlignment="1">
      <alignment horizontal="right" vertical="center"/>
    </xf>
    <xf numFmtId="166" fontId="7" fillId="87" borderId="31" xfId="719" applyNumberFormat="1" applyFont="1" applyFill="1" applyBorder="1" applyAlignment="1">
      <alignment horizontal="right" vertical="center"/>
    </xf>
    <xf numFmtId="166" fontId="8" fillId="52" borderId="4" xfId="0" applyNumberFormat="1" applyFont="1" applyFill="1" applyBorder="1" applyAlignment="1">
      <alignment horizontal="center"/>
    </xf>
    <xf numFmtId="171" fontId="7" fillId="52" borderId="4" xfId="0" applyNumberFormat="1" applyFont="1" applyFill="1" applyBorder="1" applyAlignment="1" applyProtection="1">
      <alignment horizontal="center"/>
      <protection locked="0"/>
    </xf>
    <xf numFmtId="171" fontId="8" fillId="52" borderId="4" xfId="0" applyNumberFormat="1" applyFont="1" applyFill="1" applyBorder="1" applyAlignment="1">
      <alignment horizontal="center"/>
    </xf>
    <xf numFmtId="171" fontId="29" fillId="89" borderId="4" xfId="0" applyNumberFormat="1" applyFont="1" applyFill="1" applyBorder="1" applyAlignment="1">
      <alignment horizontal="center"/>
    </xf>
    <xf numFmtId="171" fontId="29" fillId="0" borderId="0" xfId="0" applyNumberFormat="1" applyFont="1" applyAlignment="1">
      <alignment wrapText="1"/>
    </xf>
    <xf numFmtId="171" fontId="7" fillId="0" borderId="0" xfId="0" applyNumberFormat="1" applyFont="1" applyAlignment="1">
      <alignment wrapText="1"/>
    </xf>
    <xf numFmtId="171" fontId="29" fillId="0" borderId="4" xfId="0" applyNumberFormat="1" applyFont="1" applyBorder="1" applyAlignment="1">
      <alignment horizontal="center" wrapText="1"/>
    </xf>
    <xf numFmtId="171" fontId="30" fillId="0" borderId="4" xfId="2664" applyNumberFormat="1" applyFont="1" applyBorder="1" applyAlignment="1" applyProtection="1">
      <alignment horizontal="center" wrapText="1"/>
      <protection locked="0"/>
    </xf>
    <xf numFmtId="171" fontId="8" fillId="0" borderId="4" xfId="0" applyNumberFormat="1" applyFont="1" applyFill="1" applyBorder="1" applyAlignment="1" applyProtection="1">
      <alignment horizontal="center" wrapText="1"/>
      <protection locked="0"/>
    </xf>
    <xf numFmtId="171" fontId="7" fillId="52" borderId="4" xfId="0" applyNumberFormat="1" applyFont="1" applyFill="1" applyBorder="1" applyAlignment="1" applyProtection="1">
      <alignment horizontal="center" wrapText="1"/>
      <protection locked="0"/>
    </xf>
    <xf numFmtId="171" fontId="29" fillId="52" borderId="4" xfId="2664" applyNumberFormat="1" applyFont="1" applyFill="1" applyBorder="1" applyAlignment="1">
      <alignment horizontal="center"/>
    </xf>
    <xf numFmtId="171" fontId="7" fillId="0" borderId="4" xfId="2664" applyNumberFormat="1" applyFont="1" applyBorder="1" applyAlignment="1" applyProtection="1">
      <alignment horizontal="center" wrapText="1"/>
      <protection locked="0"/>
    </xf>
    <xf numFmtId="171" fontId="7" fillId="72" borderId="4" xfId="0" applyNumberFormat="1" applyFont="1" applyFill="1" applyBorder="1" applyAlignment="1" applyProtection="1">
      <alignment horizontal="center" wrapText="1"/>
      <protection locked="0"/>
    </xf>
    <xf numFmtId="171" fontId="29" fillId="72" borderId="4" xfId="0" applyNumberFormat="1" applyFont="1" applyFill="1" applyBorder="1" applyAlignment="1" applyProtection="1">
      <alignment horizontal="center"/>
    </xf>
    <xf numFmtId="171" fontId="29" fillId="0" borderId="4" xfId="0" applyNumberFormat="1" applyFont="1" applyBorder="1" applyAlignment="1" applyProtection="1">
      <alignment horizontal="center" wrapText="1"/>
      <protection locked="0"/>
    </xf>
    <xf numFmtId="171" fontId="29" fillId="52" borderId="4" xfId="0" applyNumberFormat="1" applyFont="1" applyFill="1" applyBorder="1" applyAlignment="1" applyProtection="1">
      <alignment horizontal="center" wrapText="1"/>
      <protection locked="0"/>
    </xf>
    <xf numFmtId="171" fontId="29" fillId="0" borderId="4" xfId="0" applyNumberFormat="1" applyFont="1" applyFill="1" applyBorder="1" applyAlignment="1" applyProtection="1">
      <alignment horizontal="center"/>
    </xf>
    <xf numFmtId="171" fontId="29" fillId="72" borderId="4" xfId="0" applyNumberFormat="1" applyFont="1" applyFill="1" applyBorder="1" applyAlignment="1" applyProtection="1">
      <alignment horizontal="center" wrapText="1"/>
      <protection locked="0"/>
    </xf>
    <xf numFmtId="171" fontId="29" fillId="0" borderId="4" xfId="0" applyNumberFormat="1" applyFont="1" applyFill="1" applyBorder="1" applyAlignment="1">
      <alignment horizontal="center" wrapText="1"/>
    </xf>
    <xf numFmtId="171" fontId="0" fillId="0" borderId="0" xfId="0" applyNumberFormat="1"/>
    <xf numFmtId="171" fontId="29" fillId="81" borderId="4" xfId="0" applyNumberFormat="1" applyFont="1" applyFill="1" applyBorder="1" applyAlignment="1" applyProtection="1">
      <alignment horizontal="center" wrapText="1"/>
      <protection locked="0"/>
    </xf>
    <xf numFmtId="171" fontId="8" fillId="0" borderId="4" xfId="0" applyNumberFormat="1" applyFont="1" applyFill="1" applyBorder="1" applyAlignment="1" applyProtection="1">
      <alignment horizontal="center"/>
      <protection locked="0"/>
    </xf>
    <xf numFmtId="171" fontId="7" fillId="0" borderId="4" xfId="0" applyNumberFormat="1" applyFont="1" applyFill="1" applyBorder="1" applyAlignment="1" applyProtection="1">
      <alignment horizontal="center"/>
      <protection locked="0"/>
    </xf>
    <xf numFmtId="171" fontId="29" fillId="2" borderId="4" xfId="0" applyNumberFormat="1" applyFont="1" applyFill="1" applyBorder="1" applyAlignment="1" applyProtection="1">
      <alignment horizontal="center" wrapText="1"/>
      <protection locked="0"/>
    </xf>
    <xf numFmtId="171" fontId="30" fillId="2" borderId="4" xfId="0" applyNumberFormat="1" applyFont="1" applyFill="1" applyBorder="1" applyAlignment="1" applyProtection="1">
      <alignment horizontal="center" wrapText="1"/>
      <protection locked="0"/>
    </xf>
    <xf numFmtId="171" fontId="29" fillId="2" borderId="4" xfId="0" applyNumberFormat="1" applyFont="1" applyFill="1" applyBorder="1" applyAlignment="1">
      <alignment horizontal="center" wrapText="1"/>
    </xf>
    <xf numFmtId="171" fontId="30" fillId="2" borderId="4" xfId="0" applyNumberFormat="1" applyFont="1" applyFill="1" applyBorder="1" applyAlignment="1">
      <alignment horizontal="center" wrapText="1"/>
    </xf>
    <xf numFmtId="171" fontId="30" fillId="0" borderId="4" xfId="0" applyNumberFormat="1" applyFont="1" applyFill="1" applyBorder="1" applyAlignment="1">
      <alignment horizontal="center" wrapText="1"/>
    </xf>
    <xf numFmtId="171" fontId="29" fillId="72" borderId="4" xfId="0" applyNumberFormat="1" applyFont="1" applyFill="1" applyBorder="1" applyAlignment="1">
      <alignment horizontal="center" wrapText="1"/>
    </xf>
    <xf numFmtId="171" fontId="29" fillId="81" borderId="4" xfId="0" applyNumberFormat="1" applyFont="1" applyFill="1" applyBorder="1" applyAlignment="1">
      <alignment horizontal="center" wrapText="1"/>
    </xf>
    <xf numFmtId="171" fontId="29" fillId="0" borderId="4" xfId="2664" applyNumberFormat="1" applyFont="1" applyFill="1" applyBorder="1" applyAlignment="1" applyProtection="1">
      <alignment horizontal="center" wrapText="1"/>
      <protection locked="0"/>
    </xf>
    <xf numFmtId="171" fontId="63" fillId="0" borderId="4" xfId="2664" applyNumberFormat="1" applyFont="1" applyFill="1" applyBorder="1" applyAlignment="1" applyProtection="1">
      <alignment horizontal="center" wrapText="1"/>
      <protection locked="0"/>
    </xf>
    <xf numFmtId="171" fontId="7" fillId="0" borderId="68" xfId="0" applyNumberFormat="1" applyFont="1" applyBorder="1" applyAlignment="1" applyProtection="1">
      <alignment horizontal="center" wrapText="1"/>
      <protection locked="0"/>
    </xf>
    <xf numFmtId="171" fontId="8" fillId="0" borderId="26" xfId="0" applyNumberFormat="1" applyFont="1" applyBorder="1" applyAlignment="1" applyProtection="1">
      <alignment horizontal="center" wrapText="1"/>
      <protection locked="0"/>
    </xf>
    <xf numFmtId="171" fontId="28" fillId="0" borderId="0" xfId="0" applyNumberFormat="1" applyFont="1"/>
    <xf numFmtId="0" fontId="9" fillId="0" borderId="40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719" applyFont="1" applyBorder="1" applyAlignment="1">
      <alignment vertical="center" wrapText="1"/>
    </xf>
    <xf numFmtId="0" fontId="9" fillId="0" borderId="4" xfId="719" applyFont="1" applyBorder="1" applyAlignment="1">
      <alignment horizontal="center" vertical="center" wrapText="1"/>
    </xf>
    <xf numFmtId="0" fontId="9" fillId="0" borderId="29" xfId="719" applyFont="1" applyBorder="1" applyAlignment="1"/>
    <xf numFmtId="0" fontId="9" fillId="0" borderId="4" xfId="719" applyFont="1" applyBorder="1" applyAlignment="1"/>
    <xf numFmtId="0" fontId="0" fillId="0" borderId="40" xfId="0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200" fontId="0" fillId="0" borderId="0" xfId="0" applyNumberFormat="1"/>
    <xf numFmtId="201" fontId="0" fillId="0" borderId="0" xfId="0" applyNumberFormat="1"/>
    <xf numFmtId="10" fontId="0" fillId="0" borderId="0" xfId="0" applyNumberFormat="1"/>
    <xf numFmtId="171" fontId="7" fillId="89" borderId="4" xfId="0" applyNumberFormat="1" applyFont="1" applyFill="1" applyBorder="1" applyAlignment="1" applyProtection="1">
      <alignment horizontal="center" wrapText="1"/>
      <protection locked="0"/>
    </xf>
    <xf numFmtId="0" fontId="9" fillId="0" borderId="2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/>
    <xf numFmtId="2" fontId="7" fillId="0" borderId="4" xfId="0" applyNumberFormat="1" applyFont="1" applyFill="1" applyBorder="1"/>
    <xf numFmtId="166" fontId="7" fillId="52" borderId="4" xfId="2619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0" fillId="0" borderId="4" xfId="0" applyBorder="1"/>
    <xf numFmtId="171" fontId="29" fillId="89" borderId="4" xfId="0" applyNumberFormat="1" applyFont="1" applyFill="1" applyBorder="1" applyAlignment="1" applyProtection="1">
      <alignment horizontal="center" wrapText="1"/>
      <protection locked="0"/>
    </xf>
    <xf numFmtId="3" fontId="29" fillId="89" borderId="4" xfId="0" applyNumberFormat="1" applyFont="1" applyFill="1" applyBorder="1" applyAlignment="1" applyProtection="1">
      <alignment horizontal="center"/>
    </xf>
    <xf numFmtId="170" fontId="38" fillId="89" borderId="4" xfId="0" applyNumberFormat="1" applyFont="1" applyFill="1" applyBorder="1" applyAlignment="1" applyProtection="1">
      <alignment horizontal="center" wrapText="1"/>
      <protection locked="0"/>
    </xf>
    <xf numFmtId="2" fontId="9" fillId="0" borderId="4" xfId="0" applyNumberFormat="1" applyFont="1" applyBorder="1" applyAlignment="1">
      <alignment horizontal="center" vertical="center" wrapText="1"/>
    </xf>
    <xf numFmtId="166" fontId="9" fillId="0" borderId="26" xfId="0" applyNumberFormat="1" applyFont="1" applyBorder="1" applyAlignment="1">
      <alignment horizontal="center" vertical="center" wrapText="1"/>
    </xf>
    <xf numFmtId="0" fontId="31" fillId="0" borderId="4" xfId="0" applyFont="1" applyBorder="1" applyAlignment="1">
      <alignment wrapText="1"/>
    </xf>
    <xf numFmtId="0" fontId="12" fillId="0" borderId="4" xfId="0" applyFont="1" applyBorder="1" applyAlignment="1" applyProtection="1">
      <alignment horizontal="left" vertical="center" wrapText="1" shrinkToFit="1"/>
    </xf>
    <xf numFmtId="49" fontId="12" fillId="0" borderId="4" xfId="0" applyNumberFormat="1" applyFont="1" applyBorder="1" applyAlignment="1" applyProtection="1">
      <alignment horizontal="left" vertical="center" wrapText="1" shrinkToFit="1"/>
    </xf>
    <xf numFmtId="0" fontId="12" fillId="0" borderId="4" xfId="0" applyNumberFormat="1" applyFont="1" applyBorder="1"/>
    <xf numFmtId="1" fontId="12" fillId="52" borderId="4" xfId="0" applyNumberFormat="1" applyFont="1" applyFill="1" applyBorder="1" applyAlignment="1" applyProtection="1">
      <alignment horizontal="center" vertical="center" wrapText="1" shrinkToFit="1"/>
    </xf>
    <xf numFmtId="0" fontId="12" fillId="52" borderId="4" xfId="0" applyFont="1" applyFill="1" applyBorder="1" applyAlignment="1" applyProtection="1">
      <alignment horizontal="center" vertical="center" wrapText="1" shrinkToFit="1"/>
    </xf>
    <xf numFmtId="2" fontId="12" fillId="52" borderId="4" xfId="0" applyNumberFormat="1" applyFont="1" applyFill="1" applyBorder="1" applyAlignment="1" applyProtection="1">
      <alignment horizontal="center" vertical="center" wrapText="1" shrinkToFit="1"/>
    </xf>
    <xf numFmtId="1" fontId="12" fillId="89" borderId="4" xfId="0" applyNumberFormat="1" applyFont="1" applyFill="1" applyBorder="1" applyAlignment="1" applyProtection="1">
      <alignment horizontal="center" vertical="center" wrapText="1" shrinkToFit="1"/>
    </xf>
    <xf numFmtId="0" fontId="12" fillId="89" borderId="4" xfId="0" applyFont="1" applyFill="1" applyBorder="1"/>
    <xf numFmtId="166" fontId="8" fillId="0" borderId="4" xfId="0" applyNumberFormat="1" applyFont="1" applyFill="1" applyBorder="1" applyAlignment="1" applyProtection="1">
      <alignment horizontal="center" vertical="center" wrapText="1" shrinkToFit="1"/>
    </xf>
    <xf numFmtId="166" fontId="12" fillId="52" borderId="4" xfId="0" applyNumberFormat="1" applyFont="1" applyFill="1" applyBorder="1" applyAlignment="1" applyProtection="1">
      <alignment horizontal="center" vertical="center" wrapText="1" shrinkToFit="1"/>
    </xf>
    <xf numFmtId="0" fontId="12" fillId="89" borderId="4" xfId="0" applyFont="1" applyFill="1" applyBorder="1" applyAlignment="1" applyProtection="1">
      <alignment horizontal="center" vertical="center" wrapText="1" shrinkToFit="1"/>
    </xf>
    <xf numFmtId="166" fontId="12" fillId="89" borderId="4" xfId="0" applyNumberFormat="1" applyFont="1" applyFill="1" applyBorder="1" applyAlignment="1" applyProtection="1">
      <alignment horizontal="center" vertical="center" wrapText="1" shrinkToFit="1"/>
    </xf>
    <xf numFmtId="0" fontId="26" fillId="0" borderId="0" xfId="0" applyFont="1" applyAlignment="1">
      <alignment horizontal="center"/>
    </xf>
    <xf numFmtId="0" fontId="42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0" xfId="0"/>
    <xf numFmtId="0" fontId="32" fillId="0" borderId="0" xfId="0" applyFont="1" applyAlignment="1">
      <alignment horizontal="center"/>
    </xf>
    <xf numFmtId="0" fontId="32" fillId="0" borderId="0" xfId="0" applyFont="1" applyBorder="1" applyAlignment="1" applyProtection="1">
      <alignment horizontal="center" vertical="center" wrapText="1"/>
      <protection locked="0"/>
    </xf>
    <xf numFmtId="0" fontId="24" fillId="0" borderId="0" xfId="0" applyFont="1" applyFill="1" applyAlignment="1" applyProtection="1">
      <alignment horizontal="center" wrapText="1"/>
    </xf>
    <xf numFmtId="0" fontId="21" fillId="0" borderId="0" xfId="2620" applyFont="1" applyBorder="1" applyAlignment="1">
      <alignment horizontal="center" wrapText="1"/>
    </xf>
    <xf numFmtId="0" fontId="0" fillId="0" borderId="4" xfId="0" applyBorder="1"/>
    <xf numFmtId="0" fontId="163" fillId="3" borderId="4" xfId="2620" applyFont="1" applyFill="1" applyBorder="1" applyAlignment="1" applyProtection="1">
      <alignment horizontal="center" vertical="center" wrapText="1"/>
      <protection locked="0"/>
    </xf>
    <xf numFmtId="169" fontId="163" fillId="3" borderId="4" xfId="2620" applyNumberFormat="1" applyFont="1" applyFill="1" applyBorder="1" applyAlignment="1" applyProtection="1">
      <alignment horizontal="center" vertical="center" wrapText="1"/>
      <protection locked="0"/>
    </xf>
    <xf numFmtId="0" fontId="164" fillId="3" borderId="4" xfId="2620" applyFont="1" applyFill="1" applyBorder="1" applyAlignment="1" applyProtection="1">
      <alignment horizontal="center" vertical="center" wrapText="1"/>
      <protection locked="0"/>
    </xf>
    <xf numFmtId="2" fontId="5" fillId="3" borderId="4" xfId="2620" applyNumberFormat="1" applyFont="1" applyFill="1" applyBorder="1" applyAlignment="1" applyProtection="1">
      <alignment horizontal="center" vertical="center" wrapText="1"/>
      <protection locked="0"/>
    </xf>
    <xf numFmtId="0" fontId="30" fillId="0" borderId="4" xfId="0" applyFont="1" applyFill="1" applyBorder="1" applyAlignment="1">
      <alignment wrapText="1"/>
    </xf>
    <xf numFmtId="171" fontId="29" fillId="52" borderId="4" xfId="0" applyNumberFormat="1" applyFont="1" applyFill="1" applyBorder="1" applyAlignment="1" applyProtection="1">
      <alignment horizontal="center"/>
      <protection locked="0"/>
    </xf>
    <xf numFmtId="171" fontId="8" fillId="72" borderId="4" xfId="0" applyNumberFormat="1" applyFont="1" applyFill="1" applyBorder="1" applyAlignment="1" applyProtection="1">
      <alignment horizontal="center"/>
    </xf>
    <xf numFmtId="166" fontId="7" fillId="52" borderId="4" xfId="0" applyNumberFormat="1" applyFont="1" applyFill="1" applyBorder="1"/>
    <xf numFmtId="166" fontId="7" fillId="72" borderId="4" xfId="0" applyNumberFormat="1" applyFont="1" applyFill="1" applyBorder="1"/>
    <xf numFmtId="166" fontId="7" fillId="0" borderId="4" xfId="0" applyNumberFormat="1" applyFont="1" applyBorder="1"/>
    <xf numFmtId="166" fontId="8" fillId="0" borderId="4" xfId="0" applyNumberFormat="1" applyFont="1" applyBorder="1"/>
    <xf numFmtId="0" fontId="46" fillId="0" borderId="0" xfId="2775" applyNumberFormat="1" applyFont="1" applyFill="1" applyBorder="1" applyAlignment="1" applyProtection="1">
      <alignment vertical="top"/>
    </xf>
    <xf numFmtId="0" fontId="46" fillId="0" borderId="0" xfId="2775" applyNumberFormat="1" applyFont="1" applyFill="1" applyBorder="1" applyAlignment="1" applyProtection="1">
      <alignment horizontal="center" vertical="top"/>
    </xf>
    <xf numFmtId="0" fontId="46" fillId="0" borderId="4" xfId="2775" applyNumberFormat="1" applyFont="1" applyFill="1" applyBorder="1" applyAlignment="1" applyProtection="1">
      <alignment vertical="top"/>
    </xf>
    <xf numFmtId="2" fontId="46" fillId="0" borderId="4" xfId="2775" applyNumberFormat="1" applyFont="1" applyFill="1" applyBorder="1" applyAlignment="1" applyProtection="1">
      <alignment horizontal="center" vertical="top"/>
    </xf>
    <xf numFmtId="2" fontId="46" fillId="0" borderId="4" xfId="2775" applyNumberFormat="1" applyFont="1" applyFill="1" applyBorder="1" applyAlignment="1" applyProtection="1">
      <alignment vertical="top"/>
    </xf>
    <xf numFmtId="0" fontId="46" fillId="0" borderId="4" xfId="2775" applyNumberFormat="1" applyFont="1" applyFill="1" applyBorder="1" applyAlignment="1" applyProtection="1">
      <alignment horizontal="center" vertical="top"/>
    </xf>
    <xf numFmtId="0" fontId="46" fillId="0" borderId="4" xfId="2775" applyNumberFormat="1" applyFont="1" applyFill="1" applyBorder="1" applyAlignment="1" applyProtection="1">
      <alignment horizontal="left" vertical="top"/>
    </xf>
    <xf numFmtId="166" fontId="46" fillId="0" borderId="4" xfId="2775" applyNumberFormat="1" applyFont="1" applyFill="1" applyBorder="1" applyAlignment="1" applyProtection="1">
      <alignment vertical="top"/>
    </xf>
    <xf numFmtId="166" fontId="46" fillId="0" borderId="4" xfId="2775" applyNumberFormat="1" applyFont="1" applyFill="1" applyBorder="1" applyAlignment="1" applyProtection="1">
      <alignment horizontal="center" vertical="top"/>
    </xf>
    <xf numFmtId="167" fontId="46" fillId="0" borderId="4" xfId="2775" applyNumberFormat="1" applyFont="1" applyFill="1" applyBorder="1" applyAlignment="1" applyProtection="1">
      <alignment vertical="top"/>
    </xf>
    <xf numFmtId="166" fontId="46" fillId="0" borderId="0" xfId="2775" applyNumberFormat="1" applyFont="1" applyFill="1" applyBorder="1" applyAlignment="1" applyProtection="1">
      <alignment vertical="top"/>
    </xf>
    <xf numFmtId="0" fontId="166" fillId="0" borderId="4" xfId="2775" applyNumberFormat="1" applyFont="1" applyFill="1" applyBorder="1" applyAlignment="1" applyProtection="1">
      <alignment horizontal="right" vertical="top"/>
    </xf>
    <xf numFmtId="167" fontId="46" fillId="0" borderId="4" xfId="2775" applyNumberFormat="1" applyFont="1" applyFill="1" applyBorder="1" applyAlignment="1" applyProtection="1">
      <alignment horizontal="center" vertical="top"/>
    </xf>
    <xf numFmtId="167" fontId="46" fillId="0" borderId="0" xfId="2775" applyNumberFormat="1" applyFont="1" applyFill="1" applyBorder="1" applyAlignment="1" applyProtection="1">
      <alignment vertical="top"/>
    </xf>
    <xf numFmtId="0" fontId="46" fillId="0" borderId="0" xfId="2775" applyNumberFormat="1" applyFont="1" applyFill="1" applyBorder="1" applyAlignment="1" applyProtection="1">
      <alignment horizontal="left" vertical="top"/>
    </xf>
    <xf numFmtId="166" fontId="24" fillId="0" borderId="4" xfId="2775" applyNumberFormat="1" applyFont="1" applyFill="1" applyBorder="1" applyAlignment="1" applyProtection="1">
      <alignment horizontal="center" vertical="top"/>
    </xf>
    <xf numFmtId="171" fontId="7" fillId="52" borderId="4" xfId="0" applyNumberFormat="1" applyFont="1" applyFill="1" applyBorder="1" applyProtection="1">
      <protection locked="0"/>
    </xf>
    <xf numFmtId="169" fontId="7" fillId="0" borderId="0" xfId="0" applyNumberFormat="1" applyFont="1"/>
    <xf numFmtId="166" fontId="7" fillId="52" borderId="4" xfId="0" applyNumberFormat="1" applyFont="1" applyFill="1" applyBorder="1" applyProtection="1">
      <protection locked="0"/>
    </xf>
    <xf numFmtId="3" fontId="0" fillId="0" borderId="0" xfId="0" applyNumberFormat="1"/>
    <xf numFmtId="0" fontId="7" fillId="0" borderId="4" xfId="2621" applyNumberFormat="1" applyFont="1" applyBorder="1" applyAlignment="1">
      <alignment horizontal="center"/>
    </xf>
    <xf numFmtId="172" fontId="29" fillId="52" borderId="4" xfId="0" applyNumberFormat="1" applyFont="1" applyFill="1" applyBorder="1" applyAlignment="1" applyProtection="1">
      <alignment horizontal="center" wrapText="1"/>
      <protection locked="0"/>
    </xf>
    <xf numFmtId="0" fontId="0" fillId="0" borderId="4" xfId="0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3" fontId="0" fillId="0" borderId="29" xfId="0" applyNumberFormat="1" applyBorder="1"/>
    <xf numFmtId="0" fontId="0" fillId="0" borderId="26" xfId="0" applyBorder="1"/>
    <xf numFmtId="0" fontId="0" fillId="0" borderId="82" xfId="0" applyBorder="1"/>
    <xf numFmtId="3" fontId="0" fillId="0" borderId="26" xfId="0" applyNumberFormat="1" applyBorder="1"/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7" fillId="0" borderId="4" xfId="2621" applyNumberFormat="1" applyFont="1" applyBorder="1" applyAlignment="1">
      <alignment horizontal="center" vertical="center"/>
    </xf>
    <xf numFmtId="171" fontId="7" fillId="52" borderId="4" xfId="0" applyNumberFormat="1" applyFont="1" applyFill="1" applyBorder="1" applyAlignment="1" applyProtection="1">
      <alignment horizontal="center" vertical="center"/>
    </xf>
    <xf numFmtId="3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202" fontId="0" fillId="0" borderId="0" xfId="0" applyNumberFormat="1"/>
    <xf numFmtId="166" fontId="0" fillId="0" borderId="0" xfId="0" applyNumberFormat="1"/>
    <xf numFmtId="0" fontId="42" fillId="0" borderId="4" xfId="2776" applyFont="1" applyFill="1" applyBorder="1" applyAlignment="1">
      <alignment horizontal="center" vertical="center" wrapText="1"/>
    </xf>
    <xf numFmtId="0" fontId="42" fillId="0" borderId="57" xfId="2776" applyFont="1" applyFill="1" applyBorder="1" applyAlignment="1">
      <alignment horizontal="center" vertical="center" wrapText="1"/>
    </xf>
    <xf numFmtId="166" fontId="42" fillId="0" borderId="4" xfId="2776" applyNumberFormat="1" applyFont="1" applyFill="1" applyBorder="1" applyAlignment="1">
      <alignment vertical="center"/>
    </xf>
    <xf numFmtId="171" fontId="42" fillId="0" borderId="4" xfId="2776" applyNumberFormat="1" applyFont="1" applyFill="1" applyBorder="1" applyAlignment="1">
      <alignment vertical="center"/>
    </xf>
    <xf numFmtId="170" fontId="42" fillId="0" borderId="4" xfId="2776" applyNumberFormat="1" applyFont="1" applyFill="1" applyBorder="1" applyAlignment="1">
      <alignment vertical="center"/>
    </xf>
    <xf numFmtId="0" fontId="33" fillId="0" borderId="4" xfId="2776" applyNumberFormat="1" applyFont="1" applyFill="1" applyBorder="1" applyAlignment="1">
      <alignment horizontal="left" vertical="center"/>
    </xf>
    <xf numFmtId="0" fontId="33" fillId="0" borderId="57" xfId="2776" applyNumberFormat="1" applyFont="1" applyFill="1" applyBorder="1" applyAlignment="1">
      <alignment horizontal="center" vertical="center" wrapText="1"/>
    </xf>
    <xf numFmtId="0" fontId="33" fillId="0" borderId="4" xfId="2776" applyNumberFormat="1" applyFont="1" applyFill="1" applyBorder="1" applyAlignment="1">
      <alignment horizontal="center" vertical="center" wrapText="1"/>
    </xf>
    <xf numFmtId="0" fontId="32" fillId="0" borderId="4" xfId="2776" applyFont="1" applyFill="1" applyBorder="1" applyAlignment="1">
      <alignment vertical="center" wrapText="1"/>
    </xf>
    <xf numFmtId="0" fontId="33" fillId="0" borderId="4" xfId="2776" applyNumberFormat="1" applyFont="1" applyFill="1" applyBorder="1" applyAlignment="1">
      <alignment vertical="center" wrapText="1"/>
    </xf>
    <xf numFmtId="0" fontId="33" fillId="0" borderId="4" xfId="2776" applyFont="1" applyFill="1" applyBorder="1" applyAlignment="1">
      <alignment vertical="center" wrapText="1"/>
    </xf>
    <xf numFmtId="49" fontId="33" fillId="0" borderId="4" xfId="2776" applyNumberFormat="1" applyFont="1" applyFill="1" applyBorder="1" applyAlignment="1">
      <alignment horizontal="center" vertical="center" wrapText="1"/>
    </xf>
    <xf numFmtId="0" fontId="33" fillId="0" borderId="4" xfId="2776" applyFont="1" applyFill="1" applyBorder="1" applyAlignment="1">
      <alignment horizontal="center" vertical="center" wrapText="1"/>
    </xf>
    <xf numFmtId="0" fontId="33" fillId="0" borderId="57" xfId="2776" applyFont="1" applyFill="1" applyBorder="1" applyAlignment="1">
      <alignment horizontal="center" vertical="center" wrapText="1"/>
    </xf>
    <xf numFmtId="1" fontId="32" fillId="0" borderId="4" xfId="2776" applyNumberFormat="1" applyFont="1" applyFill="1" applyBorder="1" applyAlignment="1">
      <alignment horizontal="left" vertical="center" wrapText="1"/>
    </xf>
    <xf numFmtId="49" fontId="32" fillId="0" borderId="4" xfId="2776" applyNumberFormat="1" applyFont="1" applyFill="1" applyBorder="1" applyAlignment="1">
      <alignment vertical="center" wrapText="1"/>
    </xf>
    <xf numFmtId="14" fontId="32" fillId="0" borderId="4" xfId="2776" applyNumberFormat="1" applyFont="1" applyFill="1" applyBorder="1" applyAlignment="1">
      <alignment horizontal="left" vertical="center" wrapText="1"/>
    </xf>
    <xf numFmtId="170" fontId="33" fillId="0" borderId="4" xfId="2776" applyNumberFormat="1" applyFont="1" applyFill="1" applyBorder="1" applyAlignment="1">
      <alignment vertical="center"/>
    </xf>
    <xf numFmtId="170" fontId="33" fillId="0" borderId="4" xfId="2669" applyNumberFormat="1" applyFont="1" applyFill="1" applyBorder="1" applyAlignment="1">
      <alignment vertical="center"/>
    </xf>
    <xf numFmtId="0" fontId="167" fillId="0" borderId="0" xfId="0" applyFont="1"/>
    <xf numFmtId="0" fontId="42" fillId="0" borderId="4" xfId="0" applyNumberFormat="1" applyFont="1" applyBorder="1" applyAlignment="1">
      <alignment horizontal="center" vertical="center" wrapText="1"/>
    </xf>
    <xf numFmtId="0" fontId="26" fillId="81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2" fillId="81" borderId="4" xfId="0" applyNumberFormat="1" applyFont="1" applyFill="1" applyBorder="1" applyAlignment="1">
      <alignment horizontal="center" vertical="center" wrapText="1"/>
    </xf>
    <xf numFmtId="0" fontId="42" fillId="81" borderId="4" xfId="0" applyFont="1" applyFill="1" applyBorder="1" applyAlignment="1">
      <alignment horizontal="center" vertical="center" wrapText="1"/>
    </xf>
    <xf numFmtId="0" fontId="33" fillId="0" borderId="4" xfId="0" applyNumberFormat="1" applyFont="1" applyBorder="1" applyAlignment="1">
      <alignment horizontal="center" vertical="center" wrapText="1"/>
    </xf>
    <xf numFmtId="0" fontId="33" fillId="0" borderId="4" xfId="0" applyNumberFormat="1" applyFont="1" applyBorder="1" applyAlignment="1">
      <alignment horizontal="left" vertical="center"/>
    </xf>
    <xf numFmtId="166" fontId="33" fillId="0" borderId="4" xfId="0" applyNumberFormat="1" applyFont="1" applyBorder="1" applyAlignment="1">
      <alignment horizontal="center" vertical="center" wrapText="1"/>
    </xf>
    <xf numFmtId="0" fontId="32" fillId="81" borderId="4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3" fillId="81" borderId="4" xfId="0" applyFont="1" applyFill="1" applyBorder="1" applyAlignment="1">
      <alignment horizontal="center" vertical="center" wrapText="1"/>
    </xf>
    <xf numFmtId="49" fontId="42" fillId="82" borderId="4" xfId="0" applyNumberFormat="1" applyFont="1" applyFill="1" applyBorder="1" applyAlignment="1">
      <alignment horizontal="center" vertical="center" wrapText="1"/>
    </xf>
    <xf numFmtId="0" fontId="42" fillId="82" borderId="4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1" fontId="26" fillId="82" borderId="4" xfId="0" applyNumberFormat="1" applyFont="1" applyFill="1" applyBorder="1" applyAlignment="1">
      <alignment horizontal="left" vertical="center" wrapText="1"/>
    </xf>
    <xf numFmtId="0" fontId="26" fillId="58" borderId="4" xfId="0" applyNumberFormat="1" applyFont="1" applyFill="1" applyBorder="1" applyAlignment="1">
      <alignment vertical="center" wrapText="1"/>
    </xf>
    <xf numFmtId="166" fontId="26" fillId="52" borderId="4" xfId="0" applyNumberFormat="1" applyFont="1" applyFill="1" applyBorder="1" applyAlignment="1">
      <alignment vertical="center" wrapText="1"/>
    </xf>
    <xf numFmtId="0" fontId="42" fillId="52" borderId="4" xfId="0" applyNumberFormat="1" applyFont="1" applyFill="1" applyBorder="1" applyAlignment="1">
      <alignment horizontal="center" vertical="center"/>
    </xf>
    <xf numFmtId="170" fontId="42" fillId="0" borderId="4" xfId="0" applyNumberFormat="1" applyFont="1" applyFill="1" applyBorder="1" applyAlignment="1">
      <alignment horizontal="center" vertical="center"/>
    </xf>
    <xf numFmtId="3" fontId="42" fillId="52" borderId="4" xfId="0" applyNumberFormat="1" applyFont="1" applyFill="1" applyBorder="1" applyAlignment="1">
      <alignment horizontal="center" vertical="center"/>
    </xf>
    <xf numFmtId="170" fontId="42" fillId="52" borderId="4" xfId="0" applyNumberFormat="1" applyFont="1" applyFill="1" applyBorder="1" applyAlignment="1">
      <alignment horizontal="center" vertical="center"/>
    </xf>
    <xf numFmtId="170" fontId="42" fillId="52" borderId="4" xfId="2664" applyNumberFormat="1" applyFont="1" applyFill="1" applyBorder="1" applyAlignment="1">
      <alignment horizontal="center" vertical="center"/>
    </xf>
    <xf numFmtId="14" fontId="26" fillId="82" borderId="4" xfId="0" applyNumberFormat="1" applyFont="1" applyFill="1" applyBorder="1" applyAlignment="1">
      <alignment horizontal="left" vertical="center" wrapText="1"/>
    </xf>
    <xf numFmtId="49" fontId="26" fillId="52" borderId="4" xfId="0" applyNumberFormat="1" applyFont="1" applyFill="1" applyBorder="1" applyAlignment="1">
      <alignment vertical="center" wrapText="1"/>
    </xf>
    <xf numFmtId="0" fontId="42" fillId="72" borderId="4" xfId="0" applyFont="1" applyFill="1" applyBorder="1" applyAlignment="1">
      <alignment horizontal="center" vertical="center" wrapText="1"/>
    </xf>
    <xf numFmtId="49" fontId="42" fillId="82" borderId="27" xfId="0" applyNumberFormat="1" applyFont="1" applyFill="1" applyBorder="1" applyAlignment="1">
      <alignment horizontal="center" vertical="center" wrapText="1"/>
    </xf>
    <xf numFmtId="0" fontId="42" fillId="82" borderId="27" xfId="0" applyFont="1" applyFill="1" applyBorder="1" applyAlignment="1">
      <alignment horizontal="center" vertical="center" wrapText="1"/>
    </xf>
    <xf numFmtId="0" fontId="42" fillId="72" borderId="27" xfId="0" applyFont="1" applyFill="1" applyBorder="1" applyAlignment="1">
      <alignment horizontal="center" vertical="center" wrapText="1"/>
    </xf>
    <xf numFmtId="1" fontId="26" fillId="82" borderId="27" xfId="0" applyNumberFormat="1" applyFont="1" applyFill="1" applyBorder="1" applyAlignment="1">
      <alignment horizontal="left" vertical="center" wrapText="1"/>
    </xf>
    <xf numFmtId="14" fontId="26" fillId="82" borderId="27" xfId="0" applyNumberFormat="1" applyFont="1" applyFill="1" applyBorder="1" applyAlignment="1">
      <alignment horizontal="left" vertical="center" wrapText="1"/>
    </xf>
    <xf numFmtId="49" fontId="26" fillId="52" borderId="27" xfId="0" applyNumberFormat="1" applyFont="1" applyFill="1" applyBorder="1" applyAlignment="1">
      <alignment vertical="center" wrapText="1"/>
    </xf>
    <xf numFmtId="170" fontId="42" fillId="52" borderId="27" xfId="0" applyNumberFormat="1" applyFont="1" applyFill="1" applyBorder="1" applyAlignment="1">
      <alignment horizontal="center" vertical="center"/>
    </xf>
    <xf numFmtId="170" fontId="42" fillId="0" borderId="27" xfId="0" applyNumberFormat="1" applyFont="1" applyFill="1" applyBorder="1" applyAlignment="1">
      <alignment horizontal="center" vertical="center"/>
    </xf>
    <xf numFmtId="3" fontId="42" fillId="52" borderId="27" xfId="0" applyNumberFormat="1" applyFont="1" applyFill="1" applyBorder="1" applyAlignment="1">
      <alignment horizontal="center" vertical="center"/>
    </xf>
    <xf numFmtId="170" fontId="42" fillId="52" borderId="27" xfId="2664" applyNumberFormat="1" applyFont="1" applyFill="1" applyBorder="1" applyAlignment="1">
      <alignment horizontal="center" vertical="center"/>
    </xf>
    <xf numFmtId="49" fontId="42" fillId="72" borderId="0" xfId="0" applyNumberFormat="1" applyFont="1" applyFill="1" applyBorder="1" applyAlignment="1">
      <alignment horizontal="center" vertical="center" wrapText="1"/>
    </xf>
    <xf numFmtId="0" fontId="42" fillId="72" borderId="0" xfId="0" applyFont="1" applyFill="1" applyBorder="1" applyAlignment="1">
      <alignment horizontal="center" vertical="center" wrapText="1"/>
    </xf>
    <xf numFmtId="1" fontId="26" fillId="72" borderId="0" xfId="0" applyNumberFormat="1" applyFont="1" applyFill="1" applyBorder="1" applyAlignment="1">
      <alignment horizontal="left" vertical="center" wrapText="1"/>
    </xf>
    <xf numFmtId="49" fontId="26" fillId="72" borderId="0" xfId="0" applyNumberFormat="1" applyFont="1" applyFill="1" applyBorder="1" applyAlignment="1">
      <alignment vertical="center" wrapText="1"/>
    </xf>
    <xf numFmtId="14" fontId="26" fillId="72" borderId="0" xfId="0" applyNumberFormat="1" applyFont="1" applyFill="1" applyBorder="1" applyAlignment="1">
      <alignment horizontal="left" vertical="center" wrapText="1"/>
    </xf>
    <xf numFmtId="170" fontId="42" fillId="72" borderId="0" xfId="0" applyNumberFormat="1" applyFont="1" applyFill="1" applyBorder="1" applyAlignment="1">
      <alignment horizontal="center" vertical="center"/>
    </xf>
    <xf numFmtId="3" fontId="42" fillId="72" borderId="0" xfId="0" applyNumberFormat="1" applyFont="1" applyFill="1" applyBorder="1" applyAlignment="1">
      <alignment horizontal="center" vertical="center"/>
    </xf>
    <xf numFmtId="170" fontId="42" fillId="72" borderId="0" xfId="2664" applyNumberFormat="1" applyFont="1" applyFill="1" applyBorder="1" applyAlignment="1">
      <alignment horizontal="center" vertical="center"/>
    </xf>
    <xf numFmtId="0" fontId="33" fillId="72" borderId="0" xfId="0" applyNumberFormat="1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vertical="center" wrapText="1"/>
    </xf>
    <xf numFmtId="0" fontId="32" fillId="0" borderId="0" xfId="0" applyFont="1"/>
    <xf numFmtId="0" fontId="32" fillId="0" borderId="0" xfId="2776" applyFont="1" applyFill="1"/>
    <xf numFmtId="0" fontId="26" fillId="0" borderId="0" xfId="2776" applyFont="1" applyFill="1"/>
    <xf numFmtId="0" fontId="32" fillId="0" borderId="4" xfId="2776" applyFont="1" applyFill="1" applyBorder="1"/>
    <xf numFmtId="49" fontId="42" fillId="0" borderId="4" xfId="0" applyNumberFormat="1" applyFont="1" applyFill="1" applyBorder="1" applyAlignment="1">
      <alignment horizontal="center" vertical="center" wrapText="1"/>
    </xf>
    <xf numFmtId="1" fontId="26" fillId="0" borderId="4" xfId="0" applyNumberFormat="1" applyFont="1" applyFill="1" applyBorder="1" applyAlignment="1">
      <alignment horizontal="left" vertical="center" wrapText="1"/>
    </xf>
    <xf numFmtId="0" fontId="26" fillId="0" borderId="4" xfId="0" applyNumberFormat="1" applyFont="1" applyFill="1" applyBorder="1" applyAlignment="1">
      <alignment vertical="center" wrapText="1"/>
    </xf>
    <xf numFmtId="2" fontId="26" fillId="0" borderId="4" xfId="0" applyNumberFormat="1" applyFont="1" applyFill="1" applyBorder="1" applyAlignment="1">
      <alignment vertical="center" wrapText="1"/>
    </xf>
    <xf numFmtId="0" fontId="42" fillId="0" borderId="4" xfId="0" applyNumberFormat="1" applyFont="1" applyFill="1" applyBorder="1" applyAlignment="1">
      <alignment horizontal="center" vertical="center"/>
    </xf>
    <xf numFmtId="3" fontId="42" fillId="0" borderId="4" xfId="0" applyNumberFormat="1" applyFont="1" applyFill="1" applyBorder="1" applyAlignment="1">
      <alignment horizontal="center" vertical="center"/>
    </xf>
    <xf numFmtId="170" fontId="42" fillId="0" borderId="4" xfId="2664" applyNumberFormat="1" applyFont="1" applyFill="1" applyBorder="1" applyAlignment="1">
      <alignment horizontal="center" vertical="center"/>
    </xf>
    <xf numFmtId="170" fontId="42" fillId="89" borderId="4" xfId="2776" applyNumberFormat="1" applyFont="1" applyFill="1" applyBorder="1" applyAlignment="1">
      <alignment vertical="center"/>
    </xf>
    <xf numFmtId="171" fontId="42" fillId="89" borderId="4" xfId="2776" applyNumberFormat="1" applyFont="1" applyFill="1" applyBorder="1" applyAlignment="1">
      <alignment vertical="center"/>
    </xf>
    <xf numFmtId="3" fontId="42" fillId="89" borderId="4" xfId="2776" applyNumberFormat="1" applyFont="1" applyFill="1" applyBorder="1" applyAlignment="1">
      <alignment vertical="center"/>
    </xf>
    <xf numFmtId="166" fontId="26" fillId="89" borderId="4" xfId="2776" applyNumberFormat="1" applyFont="1" applyFill="1" applyBorder="1" applyAlignment="1">
      <alignment horizontal="center" vertical="center" wrapText="1"/>
    </xf>
    <xf numFmtId="166" fontId="42" fillId="89" borderId="4" xfId="2776" applyNumberFormat="1" applyFont="1" applyFill="1" applyBorder="1" applyAlignment="1">
      <alignment vertical="center"/>
    </xf>
    <xf numFmtId="0" fontId="42" fillId="89" borderId="4" xfId="2776" applyFont="1" applyFill="1" applyBorder="1" applyAlignment="1">
      <alignment horizontal="center" vertical="center" wrapText="1"/>
    </xf>
    <xf numFmtId="166" fontId="26" fillId="0" borderId="4" xfId="0" applyNumberFormat="1" applyFont="1" applyFill="1" applyBorder="1" applyAlignment="1">
      <alignment vertical="center" wrapText="1"/>
    </xf>
    <xf numFmtId="1" fontId="26" fillId="90" borderId="4" xfId="0" applyNumberFormat="1" applyFont="1" applyFill="1" applyBorder="1" applyAlignment="1">
      <alignment horizontal="left" vertical="center" wrapText="1"/>
    </xf>
    <xf numFmtId="1" fontId="26" fillId="90" borderId="4" xfId="2776" applyNumberFormat="1" applyFont="1" applyFill="1" applyBorder="1" applyAlignment="1">
      <alignment horizontal="left" vertical="center" wrapText="1"/>
    </xf>
    <xf numFmtId="14" fontId="26" fillId="90" borderId="4" xfId="2776" applyNumberFormat="1" applyFont="1" applyFill="1" applyBorder="1" applyAlignment="1">
      <alignment horizontal="left" vertical="center" wrapText="1"/>
    </xf>
    <xf numFmtId="0" fontId="42" fillId="90" borderId="4" xfId="2776" applyFont="1" applyFill="1" applyBorder="1" applyAlignment="1">
      <alignment horizontal="center" vertical="center" wrapText="1"/>
    </xf>
    <xf numFmtId="0" fontId="26" fillId="90" borderId="110" xfId="2776" applyFont="1" applyFill="1" applyBorder="1" applyAlignment="1">
      <alignment vertical="center" wrapText="1"/>
    </xf>
    <xf numFmtId="49" fontId="42" fillId="90" borderId="4" xfId="2776" applyNumberFormat="1" applyFont="1" applyFill="1" applyBorder="1" applyAlignment="1">
      <alignment horizontal="center" vertical="center" wrapText="1"/>
    </xf>
    <xf numFmtId="0" fontId="26" fillId="91" borderId="4" xfId="0" applyNumberFormat="1" applyFont="1" applyFill="1" applyBorder="1" applyAlignment="1">
      <alignment vertical="center" wrapText="1"/>
    </xf>
    <xf numFmtId="49" fontId="26" fillId="91" borderId="4" xfId="2776" applyNumberFormat="1" applyFont="1" applyFill="1" applyBorder="1" applyAlignment="1">
      <alignment vertical="center" wrapText="1"/>
    </xf>
    <xf numFmtId="49" fontId="26" fillId="91" borderId="4" xfId="0" applyNumberFormat="1" applyFont="1" applyFill="1" applyBorder="1" applyAlignment="1">
      <alignment vertical="center" wrapText="1"/>
    </xf>
    <xf numFmtId="49" fontId="26" fillId="91" borderId="27" xfId="0" applyNumberFormat="1" applyFont="1" applyFill="1" applyBorder="1" applyAlignment="1">
      <alignment vertical="center" wrapText="1"/>
    </xf>
    <xf numFmtId="170" fontId="32" fillId="0" borderId="4" xfId="0" applyNumberFormat="1" applyFont="1" applyBorder="1" applyAlignment="1">
      <alignment horizontal="center" vertical="center" wrapText="1"/>
    </xf>
    <xf numFmtId="3" fontId="29" fillId="89" borderId="4" xfId="0" applyNumberFormat="1" applyFont="1" applyFill="1" applyBorder="1" applyAlignment="1" applyProtection="1">
      <alignment horizontal="center"/>
      <protection locked="0"/>
    </xf>
    <xf numFmtId="3" fontId="29" fillId="89" borderId="4" xfId="0" applyNumberFormat="1" applyFont="1" applyFill="1" applyBorder="1" applyAlignment="1" applyProtection="1">
      <alignment horizontal="center" wrapText="1"/>
      <protection locked="0"/>
    </xf>
    <xf numFmtId="170" fontId="33" fillId="81" borderId="4" xfId="0" applyNumberFormat="1" applyFont="1" applyFill="1" applyBorder="1" applyAlignment="1">
      <alignment horizontal="center" vertical="center" wrapText="1"/>
    </xf>
    <xf numFmtId="1" fontId="46" fillId="0" borderId="4" xfId="2775" applyNumberFormat="1" applyFont="1" applyFill="1" applyBorder="1" applyAlignment="1" applyProtection="1">
      <alignment vertical="top"/>
    </xf>
    <xf numFmtId="0" fontId="26" fillId="0" borderId="4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horizontal="center" wrapText="1"/>
    </xf>
    <xf numFmtId="0" fontId="26" fillId="0" borderId="0" xfId="0" applyFont="1" applyAlignment="1">
      <alignment horizontal="center" vertical="top"/>
    </xf>
    <xf numFmtId="0" fontId="42" fillId="0" borderId="4" xfId="0" applyFont="1" applyBorder="1" applyAlignment="1">
      <alignment horizontal="center" vertical="top" wrapText="1"/>
    </xf>
    <xf numFmtId="0" fontId="42" fillId="0" borderId="26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/>
    </xf>
    <xf numFmtId="0" fontId="26" fillId="0" borderId="0" xfId="0" applyFont="1" applyAlignment="1"/>
    <xf numFmtId="0" fontId="42" fillId="0" borderId="4" xfId="0" applyFont="1" applyBorder="1" applyAlignment="1">
      <alignment horizontal="center" vertical="center" textRotation="90" wrapText="1"/>
    </xf>
    <xf numFmtId="0" fontId="42" fillId="0" borderId="27" xfId="0" applyFont="1" applyBorder="1" applyAlignment="1">
      <alignment horizontal="center" vertical="center" textRotation="90" wrapText="1"/>
    </xf>
    <xf numFmtId="0" fontId="26" fillId="0" borderId="0" xfId="719" applyFont="1" applyAlignment="1">
      <alignment horizontal="left"/>
    </xf>
    <xf numFmtId="4" fontId="26" fillId="0" borderId="0" xfId="0" applyNumberFormat="1" applyFont="1" applyAlignment="1">
      <alignment horizontal="center"/>
    </xf>
    <xf numFmtId="4" fontId="26" fillId="0" borderId="4" xfId="0" applyNumberFormat="1" applyFont="1" applyBorder="1" applyAlignment="1">
      <alignment horizontal="center"/>
    </xf>
    <xf numFmtId="3" fontId="26" fillId="0" borderId="4" xfId="0" applyNumberFormat="1" applyFont="1" applyBorder="1" applyAlignment="1">
      <alignment horizontal="center"/>
    </xf>
    <xf numFmtId="9" fontId="26" fillId="0" borderId="4" xfId="0" applyNumberFormat="1" applyFont="1" applyBorder="1" applyAlignment="1">
      <alignment horizontal="center"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right" vertical="top"/>
    </xf>
    <xf numFmtId="0" fontId="16" fillId="0" borderId="0" xfId="2620" applyAlignment="1">
      <alignment horizontal="right" textRotation="180"/>
    </xf>
    <xf numFmtId="0" fontId="16" fillId="0" borderId="0" xfId="2617" applyAlignment="1">
      <alignment horizontal="right" textRotation="180"/>
    </xf>
    <xf numFmtId="0" fontId="7" fillId="0" borderId="0" xfId="0" applyNumberFormat="1" applyFont="1" applyFill="1" applyBorder="1" applyAlignment="1" applyProtection="1">
      <alignment horizontal="right" textRotation="180"/>
      <protection locked="0"/>
    </xf>
    <xf numFmtId="166" fontId="7" fillId="3" borderId="27" xfId="604" applyNumberFormat="1" applyFont="1" applyFill="1" applyBorder="1" applyAlignment="1" applyProtection="1">
      <alignment horizontal="right"/>
      <protection locked="0"/>
    </xf>
    <xf numFmtId="0" fontId="28" fillId="0" borderId="0" xfId="0" applyFont="1" applyAlignment="1">
      <alignment horizontal="right" textRotation="180"/>
    </xf>
    <xf numFmtId="0" fontId="0" fillId="0" borderId="0" xfId="0" applyAlignment="1">
      <alignment horizontal="right" textRotation="180"/>
    </xf>
    <xf numFmtId="166" fontId="12" fillId="89" borderId="4" xfId="0" applyNumberFormat="1" applyFont="1" applyFill="1" applyBorder="1" applyAlignment="1">
      <alignment horizontal="center"/>
    </xf>
    <xf numFmtId="0" fontId="165" fillId="0" borderId="0" xfId="2621" applyFont="1" applyBorder="1"/>
    <xf numFmtId="0" fontId="7" fillId="0" borderId="0" xfId="2775" applyNumberFormat="1" applyFont="1" applyFill="1" applyBorder="1" applyAlignment="1" applyProtection="1">
      <alignment horizontal="right" vertical="top"/>
    </xf>
    <xf numFmtId="169" fontId="24" fillId="0" borderId="0" xfId="2775" applyNumberFormat="1" applyFont="1" applyFill="1" applyBorder="1" applyAlignment="1" applyProtection="1">
      <alignment horizontal="center" vertical="top"/>
    </xf>
    <xf numFmtId="0" fontId="7" fillId="0" borderId="0" xfId="0" applyFont="1" applyAlignment="1">
      <alignment horizontal="right" textRotation="180"/>
    </xf>
    <xf numFmtId="166" fontId="26" fillId="0" borderId="4" xfId="0" applyNumberFormat="1" applyFont="1" applyBorder="1"/>
    <xf numFmtId="0" fontId="27" fillId="0" borderId="0" xfId="0" applyFont="1" applyAlignment="1">
      <alignment horizontal="right" vertical="top"/>
    </xf>
    <xf numFmtId="0" fontId="8" fillId="0" borderId="0" xfId="0" applyFont="1" applyBorder="1" applyAlignment="1" applyProtection="1">
      <alignment horizontal="right" vertical="top" wrapText="1"/>
      <protection locked="0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 vertical="top"/>
    </xf>
    <xf numFmtId="0" fontId="32" fillId="52" borderId="4" xfId="0" applyFont="1" applyFill="1" applyBorder="1" applyAlignment="1" applyProtection="1">
      <alignment horizontal="center" vertical="center" wrapText="1" shrinkToFit="1"/>
    </xf>
    <xf numFmtId="0" fontId="32" fillId="0" borderId="4" xfId="0" applyFont="1" applyFill="1" applyBorder="1" applyAlignment="1" applyProtection="1">
      <alignment horizontal="center" vertical="center" wrapText="1"/>
      <protection locked="0" hidden="1"/>
    </xf>
    <xf numFmtId="0" fontId="26" fillId="0" borderId="4" xfId="0" applyFont="1" applyBorder="1" applyAlignment="1" applyProtection="1">
      <alignment horizontal="center" vertical="center" wrapText="1" shrinkToFit="1"/>
    </xf>
    <xf numFmtId="0" fontId="26" fillId="0" borderId="4" xfId="0" applyFont="1" applyFill="1" applyBorder="1" applyAlignment="1" applyProtection="1">
      <alignment horizontal="center" vertical="center" wrapText="1" shrinkToFit="1"/>
    </xf>
    <xf numFmtId="3" fontId="26" fillId="52" borderId="4" xfId="0" applyNumberFormat="1" applyFont="1" applyFill="1" applyBorder="1"/>
    <xf numFmtId="0" fontId="32" fillId="0" borderId="4" xfId="0" applyFont="1" applyBorder="1" applyAlignment="1">
      <alignment wrapText="1"/>
    </xf>
    <xf numFmtId="3" fontId="32" fillId="0" borderId="4" xfId="0" applyNumberFormat="1" applyFont="1" applyBorder="1"/>
    <xf numFmtId="0" fontId="0" fillId="0" borderId="0" xfId="0" applyFont="1" applyAlignment="1">
      <alignment horizontal="right" vertical="top"/>
    </xf>
    <xf numFmtId="0" fontId="16" fillId="0" borderId="0" xfId="2620" applyAlignment="1">
      <alignment horizontal="right" vertical="top"/>
    </xf>
    <xf numFmtId="9" fontId="30" fillId="0" borderId="4" xfId="2664" applyFont="1" applyFill="1" applyBorder="1" applyAlignment="1" applyProtection="1">
      <alignment horizontal="center"/>
      <protection locked="0"/>
    </xf>
    <xf numFmtId="0" fontId="170" fillId="3" borderId="4" xfId="2620" applyFont="1" applyFill="1" applyBorder="1" applyAlignment="1" applyProtection="1">
      <alignment horizontal="center" vertical="center" wrapText="1"/>
      <protection locked="0"/>
    </xf>
    <xf numFmtId="0" fontId="5" fillId="0" borderId="4" xfId="2620" applyFont="1" applyBorder="1" applyAlignment="1">
      <alignment horizontal="center" vertical="center" wrapText="1"/>
    </xf>
    <xf numFmtId="0" fontId="16" fillId="0" borderId="26" xfId="2620" applyBorder="1" applyAlignment="1">
      <alignment horizontal="center" vertical="center" wrapText="1"/>
    </xf>
    <xf numFmtId="0" fontId="16" fillId="0" borderId="4" xfId="2620" applyBorder="1" applyAlignment="1">
      <alignment horizontal="center" vertical="center" wrapText="1"/>
    </xf>
    <xf numFmtId="0" fontId="16" fillId="0" borderId="4" xfId="2620" applyBorder="1" applyAlignment="1">
      <alignment horizontal="center" vertical="center"/>
    </xf>
    <xf numFmtId="0" fontId="16" fillId="0" borderId="30" xfId="2620" applyBorder="1" applyAlignment="1">
      <alignment horizontal="center" vertical="center" wrapText="1"/>
    </xf>
    <xf numFmtId="0" fontId="16" fillId="0" borderId="27" xfId="2620" applyBorder="1" applyAlignment="1">
      <alignment horizontal="center" vertical="center" wrapText="1"/>
    </xf>
    <xf numFmtId="0" fontId="8" fillId="52" borderId="4" xfId="0" applyFont="1" applyFill="1" applyBorder="1" applyAlignment="1" applyProtection="1">
      <alignment horizontal="center" vertical="center" wrapText="1" shrinkToFit="1"/>
    </xf>
    <xf numFmtId="0" fontId="32" fillId="52" borderId="4" xfId="0" applyFont="1" applyFill="1" applyBorder="1" applyAlignment="1" applyProtection="1">
      <alignment horizontal="center" vertical="center" wrapText="1" shrinkToFit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/>
    <xf numFmtId="0" fontId="16" fillId="3" borderId="4" xfId="2620" applyFont="1" applyFill="1" applyBorder="1" applyAlignment="1" applyProtection="1">
      <alignment horizontal="center" vertical="center" wrapText="1"/>
      <protection locked="0"/>
    </xf>
    <xf numFmtId="2" fontId="171" fillId="72" borderId="4" xfId="0" applyNumberFormat="1" applyFont="1" applyFill="1" applyBorder="1" applyAlignment="1" applyProtection="1">
      <alignment horizontal="center"/>
    </xf>
    <xf numFmtId="166" fontId="171" fillId="72" borderId="4" xfId="0" applyNumberFormat="1" applyFont="1" applyFill="1" applyBorder="1" applyAlignment="1" applyProtection="1">
      <alignment horizontal="center"/>
    </xf>
    <xf numFmtId="167" fontId="171" fillId="72" borderId="4" xfId="0" applyNumberFormat="1" applyFont="1" applyFill="1" applyBorder="1" applyAlignment="1" applyProtection="1">
      <alignment horizontal="center"/>
    </xf>
    <xf numFmtId="0" fontId="8" fillId="72" borderId="4" xfId="0" applyFont="1" applyFill="1" applyBorder="1" applyAlignment="1">
      <alignment wrapText="1"/>
    </xf>
    <xf numFmtId="169" fontId="5" fillId="3" borderId="4" xfId="2620" applyNumberFormat="1" applyFont="1" applyFill="1" applyBorder="1" applyAlignment="1" applyProtection="1">
      <alignment horizontal="center" vertical="center" wrapText="1"/>
      <protection locked="0"/>
    </xf>
    <xf numFmtId="0" fontId="163" fillId="3" borderId="27" xfId="2620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26" fillId="0" borderId="0" xfId="0" applyFont="1"/>
    <xf numFmtId="166" fontId="9" fillId="92" borderId="26" xfId="0" applyNumberFormat="1" applyFont="1" applyFill="1" applyBorder="1" applyAlignment="1">
      <alignment horizontal="center" vertical="center" wrapText="1"/>
    </xf>
    <xf numFmtId="166" fontId="7" fillId="0" borderId="0" xfId="0" applyNumberFormat="1" applyFont="1"/>
    <xf numFmtId="166" fontId="12" fillId="89" borderId="4" xfId="0" applyNumberFormat="1" applyFont="1" applyFill="1" applyBorder="1"/>
    <xf numFmtId="166" fontId="33" fillId="0" borderId="4" xfId="2776" applyNumberFormat="1" applyFont="1" applyFill="1" applyBorder="1" applyAlignment="1">
      <alignment horizontal="center" vertical="center" wrapText="1"/>
    </xf>
    <xf numFmtId="4" fontId="29" fillId="72" borderId="4" xfId="0" applyNumberFormat="1" applyFont="1" applyFill="1" applyBorder="1" applyAlignment="1" applyProtection="1">
      <alignment horizontal="center"/>
    </xf>
    <xf numFmtId="166" fontId="29" fillId="89" borderId="4" xfId="2664" applyNumberFormat="1" applyFont="1" applyFill="1" applyBorder="1" applyAlignment="1" applyProtection="1">
      <alignment horizontal="center"/>
      <protection locked="0"/>
    </xf>
    <xf numFmtId="0" fontId="7" fillId="72" borderId="53" xfId="0" applyFont="1" applyFill="1" applyBorder="1" applyAlignment="1">
      <alignment horizontal="center"/>
    </xf>
    <xf numFmtId="169" fontId="32" fillId="0" borderId="4" xfId="0" applyNumberFormat="1" applyFont="1" applyBorder="1"/>
    <xf numFmtId="4" fontId="7" fillId="0" borderId="4" xfId="0" applyNumberFormat="1" applyFont="1" applyBorder="1"/>
    <xf numFmtId="4" fontId="29" fillId="0" borderId="4" xfId="0" applyNumberFormat="1" applyFont="1" applyFill="1" applyBorder="1" applyAlignment="1" applyProtection="1">
      <alignment horizontal="center"/>
    </xf>
    <xf numFmtId="4" fontId="29" fillId="52" borderId="4" xfId="0" applyNumberFormat="1" applyFont="1" applyFill="1" applyBorder="1" applyAlignment="1" applyProtection="1">
      <alignment horizontal="center"/>
      <protection locked="0"/>
    </xf>
    <xf numFmtId="4" fontId="29" fillId="72" borderId="4" xfId="0" applyNumberFormat="1" applyFont="1" applyFill="1" applyBorder="1" applyAlignment="1" applyProtection="1">
      <alignment horizontal="center" wrapText="1"/>
    </xf>
    <xf numFmtId="4" fontId="29" fillId="52" borderId="4" xfId="0" applyNumberFormat="1" applyFont="1" applyFill="1" applyBorder="1" applyAlignment="1" applyProtection="1">
      <alignment horizontal="center" wrapText="1"/>
      <protection locked="0"/>
    </xf>
    <xf numFmtId="4" fontId="29" fillId="0" borderId="4" xfId="0" applyNumberFormat="1" applyFont="1" applyFill="1" applyBorder="1" applyAlignment="1">
      <alignment horizontal="center" wrapText="1"/>
    </xf>
    <xf numFmtId="4" fontId="29" fillId="2" borderId="4" xfId="0" applyNumberFormat="1" applyFont="1" applyFill="1" applyBorder="1" applyAlignment="1" applyProtection="1">
      <alignment horizontal="center" wrapText="1"/>
      <protection locked="0"/>
    </xf>
    <xf numFmtId="4" fontId="29" fillId="2" borderId="4" xfId="0" applyNumberFormat="1" applyFont="1" applyFill="1" applyBorder="1" applyAlignment="1">
      <alignment horizontal="center" wrapText="1"/>
    </xf>
    <xf numFmtId="4" fontId="29" fillId="81" borderId="4" xfId="0" applyNumberFormat="1" applyFont="1" applyFill="1" applyBorder="1" applyAlignment="1">
      <alignment horizontal="center"/>
    </xf>
    <xf numFmtId="4" fontId="29" fillId="73" borderId="4" xfId="0" applyNumberFormat="1" applyFont="1" applyFill="1" applyBorder="1" applyAlignment="1" applyProtection="1">
      <alignment horizontal="center"/>
    </xf>
    <xf numFmtId="2" fontId="7" fillId="72" borderId="4" xfId="0" applyNumberFormat="1" applyFont="1" applyFill="1" applyBorder="1" applyAlignment="1">
      <alignment horizontal="center"/>
    </xf>
    <xf numFmtId="9" fontId="172" fillId="0" borderId="0" xfId="2664" applyFont="1"/>
    <xf numFmtId="0" fontId="172" fillId="0" borderId="0" xfId="0" applyFont="1"/>
    <xf numFmtId="10" fontId="172" fillId="0" borderId="0" xfId="0" applyNumberFormat="1" applyFont="1"/>
    <xf numFmtId="0" fontId="0" fillId="0" borderId="4" xfId="0" applyBorder="1"/>
    <xf numFmtId="0" fontId="0" fillId="0" borderId="4" xfId="0" applyBorder="1" applyAlignment="1">
      <alignment wrapText="1"/>
    </xf>
    <xf numFmtId="171" fontId="29" fillId="0" borderId="57" xfId="0" applyNumberFormat="1" applyFont="1" applyBorder="1" applyAlignment="1">
      <alignment horizontal="center" wrapText="1"/>
    </xf>
    <xf numFmtId="9" fontId="30" fillId="0" borderId="57" xfId="2664" applyFont="1" applyFill="1" applyBorder="1" applyAlignment="1" applyProtection="1">
      <alignment horizontal="center"/>
      <protection locked="0"/>
    </xf>
    <xf numFmtId="171" fontId="7" fillId="0" borderId="57" xfId="0" applyNumberFormat="1" applyFont="1" applyBorder="1" applyAlignment="1" applyProtection="1">
      <alignment horizontal="center" wrapText="1"/>
      <protection locked="0"/>
    </xf>
    <xf numFmtId="171" fontId="30" fillId="0" borderId="57" xfId="2664" applyNumberFormat="1" applyFont="1" applyBorder="1" applyAlignment="1" applyProtection="1">
      <alignment horizontal="center" wrapText="1"/>
      <protection locked="0"/>
    </xf>
    <xf numFmtId="171" fontId="8" fillId="0" borderId="57" xfId="0" applyNumberFormat="1" applyFont="1" applyFill="1" applyBorder="1" applyAlignment="1" applyProtection="1">
      <alignment horizontal="center" wrapText="1"/>
      <protection locked="0"/>
    </xf>
    <xf numFmtId="171" fontId="7" fillId="52" borderId="57" xfId="0" applyNumberFormat="1" applyFont="1" applyFill="1" applyBorder="1" applyAlignment="1" applyProtection="1">
      <alignment horizontal="center" wrapText="1"/>
      <protection locked="0"/>
    </xf>
    <xf numFmtId="171" fontId="29" fillId="52" borderId="57" xfId="2664" applyNumberFormat="1" applyFont="1" applyFill="1" applyBorder="1" applyAlignment="1">
      <alignment horizontal="center"/>
    </xf>
    <xf numFmtId="171" fontId="7" fillId="0" borderId="57" xfId="2664" applyNumberFormat="1" applyFont="1" applyBorder="1" applyAlignment="1" applyProtection="1">
      <alignment horizontal="center" wrapText="1"/>
      <protection locked="0"/>
    </xf>
    <xf numFmtId="171" fontId="7" fillId="72" borderId="57" xfId="0" applyNumberFormat="1" applyFont="1" applyFill="1" applyBorder="1" applyAlignment="1" applyProtection="1">
      <alignment horizontal="center" wrapText="1"/>
      <protection locked="0"/>
    </xf>
    <xf numFmtId="171" fontId="29" fillId="72" borderId="57" xfId="0" applyNumberFormat="1" applyFont="1" applyFill="1" applyBorder="1" applyAlignment="1" applyProtection="1">
      <alignment horizontal="center"/>
    </xf>
    <xf numFmtId="171" fontId="29" fillId="0" borderId="57" xfId="0" applyNumberFormat="1" applyFont="1" applyBorder="1" applyAlignment="1" applyProtection="1">
      <alignment horizontal="center" wrapText="1"/>
      <protection locked="0"/>
    </xf>
    <xf numFmtId="171" fontId="29" fillId="52" borderId="57" xfId="0" applyNumberFormat="1" applyFont="1" applyFill="1" applyBorder="1" applyAlignment="1" applyProtection="1">
      <alignment horizontal="center" wrapText="1"/>
      <protection locked="0"/>
    </xf>
    <xf numFmtId="171" fontId="29" fillId="0" borderId="57" xfId="0" applyNumberFormat="1" applyFont="1" applyFill="1" applyBorder="1" applyAlignment="1" applyProtection="1">
      <alignment horizontal="center"/>
    </xf>
    <xf numFmtId="171" fontId="29" fillId="89" borderId="57" xfId="0" applyNumberFormat="1" applyFont="1" applyFill="1" applyBorder="1" applyAlignment="1">
      <alignment horizontal="center"/>
    </xf>
    <xf numFmtId="171" fontId="29" fillId="72" borderId="57" xfId="0" applyNumberFormat="1" applyFont="1" applyFill="1" applyBorder="1" applyAlignment="1" applyProtection="1">
      <alignment horizontal="center" wrapText="1"/>
      <protection locked="0"/>
    </xf>
    <xf numFmtId="171" fontId="29" fillId="0" borderId="57" xfId="0" applyNumberFormat="1" applyFont="1" applyFill="1" applyBorder="1" applyAlignment="1">
      <alignment horizontal="center" wrapText="1"/>
    </xf>
    <xf numFmtId="171" fontId="29" fillId="81" borderId="57" xfId="0" applyNumberFormat="1" applyFont="1" applyFill="1" applyBorder="1" applyAlignment="1" applyProtection="1">
      <alignment horizontal="center" wrapText="1"/>
      <protection locked="0"/>
    </xf>
    <xf numFmtId="170" fontId="38" fillId="89" borderId="57" xfId="0" applyNumberFormat="1" applyFont="1" applyFill="1" applyBorder="1" applyAlignment="1" applyProtection="1">
      <alignment horizontal="center" wrapText="1"/>
      <protection locked="0"/>
    </xf>
    <xf numFmtId="171" fontId="8" fillId="0" borderId="57" xfId="0" applyNumberFormat="1" applyFont="1" applyFill="1" applyBorder="1" applyAlignment="1" applyProtection="1">
      <alignment horizontal="center"/>
      <protection locked="0"/>
    </xf>
    <xf numFmtId="171" fontId="7" fillId="52" borderId="57" xfId="0" applyNumberFormat="1" applyFont="1" applyFill="1" applyBorder="1" applyAlignment="1" applyProtection="1">
      <alignment horizontal="center"/>
      <protection locked="0"/>
    </xf>
    <xf numFmtId="171" fontId="8" fillId="52" borderId="57" xfId="0" applyNumberFormat="1" applyFont="1" applyFill="1" applyBorder="1" applyAlignment="1">
      <alignment horizontal="center"/>
    </xf>
    <xf numFmtId="171" fontId="8" fillId="52" borderId="57" xfId="0" applyNumberFormat="1" applyFont="1" applyFill="1" applyBorder="1" applyAlignment="1" applyProtection="1">
      <alignment horizontal="center"/>
      <protection locked="0"/>
    </xf>
    <xf numFmtId="171" fontId="7" fillId="2" borderId="57" xfId="0" applyNumberFormat="1" applyFont="1" applyFill="1" applyBorder="1" applyAlignment="1" applyProtection="1">
      <alignment horizontal="center" wrapText="1"/>
      <protection locked="0"/>
    </xf>
    <xf numFmtId="171" fontId="7" fillId="89" borderId="57" xfId="0" applyNumberFormat="1" applyFont="1" applyFill="1" applyBorder="1" applyAlignment="1" applyProtection="1">
      <alignment horizontal="center" wrapText="1"/>
      <protection locked="0"/>
    </xf>
    <xf numFmtId="171" fontId="7" fillId="0" borderId="57" xfId="0" applyNumberFormat="1" applyFont="1" applyFill="1" applyBorder="1" applyAlignment="1" applyProtection="1">
      <alignment horizontal="center"/>
      <protection locked="0"/>
    </xf>
    <xf numFmtId="171" fontId="29" fillId="2" borderId="57" xfId="0" applyNumberFormat="1" applyFont="1" applyFill="1" applyBorder="1" applyAlignment="1" applyProtection="1">
      <alignment horizontal="center" wrapText="1"/>
      <protection locked="0"/>
    </xf>
    <xf numFmtId="171" fontId="30" fillId="2" borderId="57" xfId="0" applyNumberFormat="1" applyFont="1" applyFill="1" applyBorder="1" applyAlignment="1" applyProtection="1">
      <alignment horizontal="center" wrapText="1"/>
      <protection locked="0"/>
    </xf>
    <xf numFmtId="171" fontId="29" fillId="2" borderId="57" xfId="0" applyNumberFormat="1" applyFont="1" applyFill="1" applyBorder="1" applyAlignment="1">
      <alignment horizontal="center" wrapText="1"/>
    </xf>
    <xf numFmtId="171" fontId="30" fillId="2" borderId="57" xfId="0" applyNumberFormat="1" applyFont="1" applyFill="1" applyBorder="1" applyAlignment="1">
      <alignment horizontal="center" wrapText="1"/>
    </xf>
    <xf numFmtId="171" fontId="30" fillId="0" borderId="57" xfId="0" applyNumberFormat="1" applyFont="1" applyFill="1" applyBorder="1" applyAlignment="1">
      <alignment horizontal="center" wrapText="1"/>
    </xf>
    <xf numFmtId="171" fontId="29" fillId="72" borderId="57" xfId="0" applyNumberFormat="1" applyFont="1" applyFill="1" applyBorder="1" applyAlignment="1">
      <alignment horizontal="center" wrapText="1"/>
    </xf>
    <xf numFmtId="171" fontId="29" fillId="81" borderId="57" xfId="0" applyNumberFormat="1" applyFont="1" applyFill="1" applyBorder="1" applyAlignment="1">
      <alignment horizontal="center" wrapText="1"/>
    </xf>
    <xf numFmtId="171" fontId="29" fillId="0" borderId="57" xfId="2664" applyNumberFormat="1" applyFont="1" applyFill="1" applyBorder="1" applyAlignment="1" applyProtection="1">
      <alignment horizontal="center" wrapText="1"/>
      <protection locked="0"/>
    </xf>
    <xf numFmtId="171" fontId="63" fillId="0" borderId="57" xfId="2664" applyNumberFormat="1" applyFont="1" applyFill="1" applyBorder="1" applyAlignment="1" applyProtection="1">
      <alignment horizontal="center" wrapText="1"/>
      <protection locked="0"/>
    </xf>
    <xf numFmtId="3" fontId="28" fillId="0" borderId="4" xfId="0" applyNumberFormat="1" applyFont="1" applyBorder="1" applyAlignment="1">
      <alignment horizontal="center"/>
    </xf>
    <xf numFmtId="0" fontId="28" fillId="72" borderId="4" xfId="0" applyFont="1" applyFill="1" applyBorder="1"/>
    <xf numFmtId="3" fontId="7" fillId="72" borderId="4" xfId="0" applyNumberFormat="1" applyFont="1" applyFill="1" applyBorder="1"/>
    <xf numFmtId="3" fontId="7" fillId="0" borderId="4" xfId="0" applyNumberFormat="1" applyFont="1" applyFill="1" applyBorder="1"/>
    <xf numFmtId="3" fontId="7" fillId="52" borderId="4" xfId="0" applyNumberFormat="1" applyFont="1" applyFill="1" applyBorder="1"/>
    <xf numFmtId="4" fontId="0" fillId="0" borderId="4" xfId="0" applyNumberFormat="1" applyBorder="1"/>
    <xf numFmtId="2" fontId="0" fillId="0" borderId="4" xfId="0" applyNumberFormat="1" applyBorder="1"/>
    <xf numFmtId="0" fontId="8" fillId="0" borderId="4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wrapText="1"/>
    </xf>
    <xf numFmtId="9" fontId="7" fillId="0" borderId="4" xfId="0" applyNumberFormat="1" applyFont="1" applyBorder="1" applyAlignment="1">
      <alignment wrapText="1"/>
    </xf>
    <xf numFmtId="10" fontId="7" fillId="0" borderId="4" xfId="0" applyNumberFormat="1" applyFont="1" applyBorder="1" applyAlignment="1">
      <alignment wrapText="1"/>
    </xf>
    <xf numFmtId="171" fontId="7" fillId="0" borderId="4" xfId="0" applyNumberFormat="1" applyFont="1" applyBorder="1" applyAlignment="1">
      <alignment wrapText="1"/>
    </xf>
    <xf numFmtId="0" fontId="16" fillId="0" borderId="0" xfId="2620" applyAlignment="1">
      <alignment horizontal="justify" vertical="center" wrapText="1"/>
    </xf>
    <xf numFmtId="0" fontId="16" fillId="0" borderId="4" xfId="2620" applyBorder="1" applyAlignment="1">
      <alignment horizontal="center" vertical="center"/>
    </xf>
    <xf numFmtId="0" fontId="16" fillId="0" borderId="4" xfId="2620" applyBorder="1" applyAlignment="1">
      <alignment horizontal="center" vertical="center" wrapText="1"/>
    </xf>
    <xf numFmtId="0" fontId="5" fillId="0" borderId="4" xfId="2620" applyFont="1" applyBorder="1" applyAlignment="1">
      <alignment horizontal="center" vertical="center" wrapText="1"/>
    </xf>
    <xf numFmtId="0" fontId="16" fillId="0" borderId="30" xfId="2620" applyBorder="1" applyAlignment="1">
      <alignment horizontal="center" vertical="center" wrapText="1"/>
    </xf>
    <xf numFmtId="0" fontId="16" fillId="0" borderId="0" xfId="2620" applyAlignment="1">
      <alignment horizontal="left" vertical="center" wrapText="1"/>
    </xf>
    <xf numFmtId="0" fontId="16" fillId="0" borderId="0" xfId="2620" applyAlignment="1">
      <alignment horizontal="center" vertical="center" wrapText="1"/>
    </xf>
    <xf numFmtId="0" fontId="16" fillId="0" borderId="26" xfId="2620" applyBorder="1" applyAlignment="1">
      <alignment horizontal="center" vertical="center" wrapText="1"/>
    </xf>
    <xf numFmtId="0" fontId="16" fillId="0" borderId="0" xfId="2620" applyAlignment="1">
      <alignment horizontal="center" wrapText="1"/>
    </xf>
    <xf numFmtId="0" fontId="16" fillId="0" borderId="27" xfId="2620" applyBorder="1" applyAlignment="1">
      <alignment horizontal="center" vertical="center" wrapText="1"/>
    </xf>
    <xf numFmtId="0" fontId="18" fillId="0" borderId="0" xfId="2620" applyFont="1" applyBorder="1" applyAlignment="1">
      <alignment wrapText="1"/>
    </xf>
    <xf numFmtId="0" fontId="26" fillId="0" borderId="0" xfId="0" applyFont="1"/>
    <xf numFmtId="0" fontId="42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/>
    <xf numFmtId="0" fontId="11" fillId="0" borderId="4" xfId="717" applyFont="1" applyBorder="1" applyAlignment="1">
      <alignment horizontal="left" vertical="center"/>
    </xf>
    <xf numFmtId="0" fontId="11" fillId="0" borderId="4" xfId="717" applyFont="1" applyBorder="1" applyAlignment="1">
      <alignment horizontal="center" vertical="center"/>
    </xf>
    <xf numFmtId="0" fontId="0" fillId="0" borderId="4" xfId="0" applyBorder="1"/>
    <xf numFmtId="0" fontId="29" fillId="81" borderId="4" xfId="0" applyFont="1" applyFill="1" applyBorder="1" applyAlignment="1">
      <alignment horizontal="center" wrapText="1"/>
    </xf>
    <xf numFmtId="0" fontId="7" fillId="0" borderId="27" xfId="0" applyFont="1" applyBorder="1" applyAlignment="1" applyProtection="1">
      <alignment horizontal="left" vertical="center" wrapText="1" indent="2"/>
      <protection locked="0"/>
    </xf>
    <xf numFmtId="4" fontId="7" fillId="52" borderId="27" xfId="0" applyNumberFormat="1" applyFont="1" applyFill="1" applyBorder="1" applyAlignment="1" applyProtection="1">
      <alignment horizontal="center"/>
      <protection locked="0"/>
    </xf>
    <xf numFmtId="170" fontId="7" fillId="52" borderId="2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171" fontId="0" fillId="0" borderId="4" xfId="0" applyNumberFormat="1" applyBorder="1"/>
    <xf numFmtId="0" fontId="8" fillId="52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0" fillId="0" borderId="4" xfId="0" applyBorder="1"/>
    <xf numFmtId="0" fontId="0" fillId="0" borderId="0" xfId="0"/>
    <xf numFmtId="169" fontId="7" fillId="52" borderId="4" xfId="0" applyNumberFormat="1" applyFont="1" applyFill="1" applyBorder="1" applyAlignment="1" applyProtection="1">
      <alignment horizontal="center"/>
      <protection locked="0"/>
    </xf>
    <xf numFmtId="169" fontId="7" fillId="72" borderId="4" xfId="0" applyNumberFormat="1" applyFont="1" applyFill="1" applyBorder="1" applyAlignment="1" applyProtection="1">
      <alignment horizontal="center"/>
    </xf>
    <xf numFmtId="0" fontId="0" fillId="0" borderId="0" xfId="0"/>
    <xf numFmtId="4" fontId="7" fillId="88" borderId="4" xfId="0" applyNumberFormat="1" applyFont="1" applyFill="1" applyBorder="1"/>
    <xf numFmtId="10" fontId="7" fillId="89" borderId="4" xfId="2664" applyNumberFormat="1" applyFont="1" applyFill="1" applyBorder="1" applyAlignment="1"/>
    <xf numFmtId="2" fontId="7" fillId="89" borderId="4" xfId="0" applyNumberFormat="1" applyFont="1" applyFill="1" applyBorder="1"/>
    <xf numFmtId="2" fontId="7" fillId="0" borderId="4" xfId="0" applyNumberFormat="1" applyFont="1" applyBorder="1"/>
    <xf numFmtId="0" fontId="38" fillId="0" borderId="4" xfId="0" applyFont="1" applyBorder="1" applyAlignment="1">
      <alignment wrapText="1"/>
    </xf>
    <xf numFmtId="4" fontId="11" fillId="0" borderId="4" xfId="0" applyNumberFormat="1" applyFont="1" applyBorder="1"/>
    <xf numFmtId="4" fontId="38" fillId="0" borderId="4" xfId="0" applyNumberFormat="1" applyFont="1" applyBorder="1"/>
    <xf numFmtId="0" fontId="8" fillId="0" borderId="4" xfId="2619" applyFont="1" applyBorder="1" applyAlignment="1">
      <alignment horizontal="center" vertical="center" wrapText="1"/>
    </xf>
    <xf numFmtId="0" fontId="49" fillId="0" borderId="4" xfId="2619" applyFont="1" applyBorder="1" applyAlignment="1">
      <alignment horizontal="center" vertical="center" wrapText="1"/>
    </xf>
    <xf numFmtId="0" fontId="7" fillId="0" borderId="4" xfId="2619" applyFont="1" applyBorder="1"/>
    <xf numFmtId="0" fontId="8" fillId="0" borderId="4" xfId="2619" applyFont="1" applyBorder="1"/>
    <xf numFmtId="0" fontId="173" fillId="0" borderId="4" xfId="0" applyFont="1" applyBorder="1" applyAlignment="1">
      <alignment wrapText="1"/>
    </xf>
    <xf numFmtId="0" fontId="174" fillId="0" borderId="4" xfId="0" applyFont="1" applyBorder="1" applyAlignment="1">
      <alignment wrapText="1"/>
    </xf>
    <xf numFmtId="4" fontId="7" fillId="0" borderId="0" xfId="2619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Protection="1">
      <protection locked="0"/>
    </xf>
    <xf numFmtId="4" fontId="7" fillId="89" borderId="4" xfId="0" applyNumberFormat="1" applyFont="1" applyFill="1" applyBorder="1"/>
    <xf numFmtId="169" fontId="171" fillId="72" borderId="4" xfId="0" applyNumberFormat="1" applyFont="1" applyFill="1" applyBorder="1" applyAlignment="1" applyProtection="1">
      <alignment horizontal="center"/>
    </xf>
    <xf numFmtId="0" fontId="26" fillId="0" borderId="4" xfId="0" applyFont="1" applyBorder="1" applyAlignment="1">
      <alignment horizontal="center"/>
    </xf>
    <xf numFmtId="169" fontId="8" fillId="52" borderId="4" xfId="0" applyNumberFormat="1" applyFont="1" applyFill="1" applyBorder="1" applyAlignment="1">
      <alignment horizontal="center"/>
    </xf>
    <xf numFmtId="2" fontId="32" fillId="0" borderId="4" xfId="0" applyNumberFormat="1" applyFont="1" applyBorder="1" applyAlignment="1">
      <alignment horizontal="center"/>
    </xf>
    <xf numFmtId="2" fontId="26" fillId="0" borderId="71" xfId="0" applyNumberFormat="1" applyFont="1" applyBorder="1" applyAlignment="1">
      <alignment horizontal="center"/>
    </xf>
    <xf numFmtId="2" fontId="32" fillId="0" borderId="71" xfId="2776" applyNumberFormat="1" applyFont="1" applyFill="1" applyBorder="1" applyAlignment="1">
      <alignment horizontal="center"/>
    </xf>
    <xf numFmtId="203" fontId="0" fillId="0" borderId="0" xfId="2664" applyNumberFormat="1" applyFont="1"/>
    <xf numFmtId="0" fontId="0" fillId="0" borderId="0" xfId="0"/>
    <xf numFmtId="4" fontId="8" fillId="72" borderId="4" xfId="0" applyNumberFormat="1" applyFont="1" applyFill="1" applyBorder="1" applyAlignment="1" applyProtection="1">
      <alignment horizontal="center" wrapText="1"/>
      <protection locked="0"/>
    </xf>
    <xf numFmtId="204" fontId="3" fillId="0" borderId="0" xfId="2664" applyNumberFormat="1" applyFont="1"/>
    <xf numFmtId="179" fontId="0" fillId="0" borderId="0" xfId="0" applyNumberFormat="1"/>
    <xf numFmtId="205" fontId="0" fillId="0" borderId="0" xfId="0" applyNumberFormat="1"/>
    <xf numFmtId="0" fontId="26" fillId="3" borderId="0" xfId="0" applyFont="1" applyFill="1" applyAlignment="1">
      <alignment horizontal="justify"/>
    </xf>
    <xf numFmtId="0" fontId="0" fillId="3" borderId="0" xfId="0" applyFill="1" applyAlignment="1"/>
    <xf numFmtId="0" fontId="32" fillId="0" borderId="0" xfId="0" applyFont="1" applyAlignment="1">
      <alignment horizontal="justify"/>
    </xf>
    <xf numFmtId="0" fontId="0" fillId="0" borderId="0" xfId="0" applyAlignment="1"/>
    <xf numFmtId="0" fontId="3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32" fillId="3" borderId="0" xfId="0" applyFont="1" applyFill="1" applyAlignment="1">
      <alignment horizontal="justify"/>
    </xf>
    <xf numFmtId="0" fontId="27" fillId="3" borderId="0" xfId="0" applyFont="1" applyFill="1" applyAlignment="1"/>
    <xf numFmtId="0" fontId="26" fillId="0" borderId="0" xfId="0" applyFont="1" applyAlignment="1">
      <alignment horizontal="justify" wrapText="1"/>
    </xf>
    <xf numFmtId="0" fontId="32" fillId="0" borderId="72" xfId="0" applyFont="1" applyBorder="1" applyAlignment="1">
      <alignment horizontal="justify" vertical="top" wrapText="1"/>
    </xf>
    <xf numFmtId="0" fontId="32" fillId="0" borderId="73" xfId="0" applyFont="1" applyBorder="1" applyAlignment="1">
      <alignment horizontal="justify" vertical="top" wrapText="1"/>
    </xf>
    <xf numFmtId="0" fontId="32" fillId="0" borderId="61" xfId="0" applyFont="1" applyBorder="1" applyAlignment="1">
      <alignment horizontal="justify" vertical="top" wrapText="1"/>
    </xf>
    <xf numFmtId="0" fontId="26" fillId="0" borderId="72" xfId="0" applyFont="1" applyBorder="1" applyAlignment="1">
      <alignment horizontal="center" vertical="top" wrapText="1"/>
    </xf>
    <xf numFmtId="0" fontId="26" fillId="0" borderId="73" xfId="0" applyFont="1" applyBorder="1" applyAlignment="1">
      <alignment horizontal="center" vertical="top" wrapText="1"/>
    </xf>
    <xf numFmtId="0" fontId="26" fillId="0" borderId="61" xfId="0" applyFont="1" applyBorder="1" applyAlignment="1">
      <alignment horizontal="center" vertical="top" wrapText="1"/>
    </xf>
    <xf numFmtId="0" fontId="27" fillId="0" borderId="0" xfId="0" applyFont="1" applyAlignment="1"/>
    <xf numFmtId="0" fontId="26" fillId="3" borderId="0" xfId="0" applyFont="1" applyFill="1" applyAlignment="1">
      <alignment horizontal="justify" wrapText="1"/>
    </xf>
    <xf numFmtId="0" fontId="39" fillId="57" borderId="0" xfId="0" applyFont="1" applyFill="1" applyAlignment="1">
      <alignment horizontal="center" wrapText="1"/>
    </xf>
    <xf numFmtId="0" fontId="40" fillId="57" borderId="0" xfId="0" applyFont="1" applyFill="1" applyAlignment="1">
      <alignment wrapText="1"/>
    </xf>
    <xf numFmtId="0" fontId="32" fillId="3" borderId="0" xfId="0" applyFont="1" applyFill="1" applyAlignment="1">
      <alignment horizontal="justify" wrapText="1"/>
    </xf>
    <xf numFmtId="0" fontId="27" fillId="3" borderId="0" xfId="0" applyFont="1" applyFill="1" applyAlignment="1">
      <alignment wrapText="1"/>
    </xf>
    <xf numFmtId="0" fontId="26" fillId="0" borderId="0" xfId="0" applyFont="1" applyAlignment="1">
      <alignment horizontal="justify"/>
    </xf>
    <xf numFmtId="0" fontId="26" fillId="0" borderId="0" xfId="0" applyFont="1" applyAlignment="1"/>
    <xf numFmtId="0" fontId="26" fillId="0" borderId="27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42" fillId="0" borderId="27" xfId="0" applyFont="1" applyBorder="1" applyAlignment="1">
      <alignment horizontal="center" vertical="center" wrapText="1"/>
    </xf>
    <xf numFmtId="0" fontId="42" fillId="0" borderId="53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168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26" fillId="0" borderId="4" xfId="0" applyFont="1" applyBorder="1" applyAlignment="1">
      <alignment horizontal="center"/>
    </xf>
    <xf numFmtId="0" fontId="42" fillId="0" borderId="57" xfId="0" applyFont="1" applyFill="1" applyBorder="1" applyAlignment="1">
      <alignment horizontal="center" vertical="center" textRotation="90" wrapText="1"/>
    </xf>
    <xf numFmtId="0" fontId="42" fillId="0" borderId="28" xfId="0" applyFont="1" applyFill="1" applyBorder="1" applyAlignment="1">
      <alignment horizontal="center" vertical="center" textRotation="90" wrapText="1"/>
    </xf>
    <xf numFmtId="0" fontId="42" fillId="0" borderId="29" xfId="0" applyFont="1" applyFill="1" applyBorder="1" applyAlignment="1">
      <alignment horizontal="center" vertical="center" textRotation="90" wrapText="1"/>
    </xf>
    <xf numFmtId="0" fontId="42" fillId="0" borderId="57" xfId="0" applyFont="1" applyBorder="1" applyAlignment="1">
      <alignment horizontal="center" vertical="top" wrapText="1"/>
    </xf>
    <xf numFmtId="0" fontId="26" fillId="0" borderId="28" xfId="0" applyFont="1" applyBorder="1" applyAlignment="1">
      <alignment horizontal="center" vertical="top" wrapText="1"/>
    </xf>
    <xf numFmtId="0" fontId="26" fillId="0" borderId="29" xfId="0" applyFont="1" applyBorder="1" applyAlignment="1">
      <alignment horizontal="center" vertical="top" wrapText="1"/>
    </xf>
    <xf numFmtId="10" fontId="26" fillId="0" borderId="57" xfId="0" applyNumberFormat="1" applyFont="1" applyBorder="1" applyAlignment="1">
      <alignment horizontal="center" vertical="top"/>
    </xf>
    <xf numFmtId="10" fontId="26" fillId="0" borderId="28" xfId="0" applyNumberFormat="1" applyFont="1" applyBorder="1" applyAlignment="1">
      <alignment horizontal="center" vertical="top"/>
    </xf>
    <xf numFmtId="10" fontId="26" fillId="0" borderId="29" xfId="0" applyNumberFormat="1" applyFont="1" applyBorder="1" applyAlignment="1">
      <alignment horizontal="center" vertical="top"/>
    </xf>
    <xf numFmtId="0" fontId="32" fillId="0" borderId="0" xfId="0" applyFont="1" applyAlignment="1">
      <alignment horizontal="center"/>
    </xf>
    <xf numFmtId="0" fontId="32" fillId="0" borderId="4" xfId="0" applyFont="1" applyBorder="1" applyAlignment="1">
      <alignment horizontal="center" vertical="top"/>
    </xf>
    <xf numFmtId="0" fontId="26" fillId="57" borderId="57" xfId="0" applyFont="1" applyFill="1" applyBorder="1" applyAlignment="1" applyProtection="1">
      <alignment horizontal="center" wrapText="1"/>
      <protection locked="0"/>
    </xf>
    <xf numFmtId="0" fontId="26" fillId="57" borderId="28" xfId="0" applyFont="1" applyFill="1" applyBorder="1" applyAlignment="1" applyProtection="1">
      <alignment horizontal="center" wrapText="1"/>
      <protection locked="0"/>
    </xf>
    <xf numFmtId="0" fontId="26" fillId="57" borderId="29" xfId="0" applyFont="1" applyFill="1" applyBorder="1" applyAlignment="1" applyProtection="1">
      <alignment horizontal="center" wrapText="1"/>
      <protection locked="0"/>
    </xf>
    <xf numFmtId="0" fontId="26" fillId="57" borderId="4" xfId="0" applyFont="1" applyFill="1" applyBorder="1" applyAlignment="1">
      <alignment vertical="top" wrapText="1" shrinkToFit="1"/>
    </xf>
    <xf numFmtId="0" fontId="26" fillId="57" borderId="4" xfId="0" applyFont="1" applyFill="1" applyBorder="1" applyAlignment="1">
      <alignment vertical="top" shrinkToFit="1"/>
    </xf>
    <xf numFmtId="0" fontId="26" fillId="57" borderId="4" xfId="0" applyFont="1" applyFill="1" applyBorder="1" applyAlignment="1">
      <alignment vertical="top" wrapText="1"/>
    </xf>
    <xf numFmtId="0" fontId="26" fillId="57" borderId="4" xfId="0" applyFont="1" applyFill="1" applyBorder="1" applyAlignment="1">
      <alignment horizontal="left" vertical="top" shrinkToFit="1"/>
    </xf>
    <xf numFmtId="0" fontId="16" fillId="0" borderId="47" xfId="2620" applyBorder="1" applyAlignment="1">
      <alignment horizontal="center" vertical="center" wrapText="1"/>
    </xf>
    <xf numFmtId="0" fontId="16" fillId="0" borderId="33" xfId="2620" applyBorder="1" applyAlignment="1">
      <alignment horizontal="center" vertical="center" wrapText="1"/>
    </xf>
    <xf numFmtId="0" fontId="5" fillId="0" borderId="4" xfId="2620" applyFont="1" applyBorder="1" applyAlignment="1">
      <alignment horizontal="center" vertical="center" wrapText="1"/>
    </xf>
    <xf numFmtId="0" fontId="6" fillId="0" borderId="4" xfId="2620" applyFont="1" applyBorder="1" applyAlignment="1">
      <alignment horizontal="left" vertical="center" wrapText="1" indent="1"/>
    </xf>
    <xf numFmtId="0" fontId="16" fillId="0" borderId="25" xfId="2620" applyBorder="1" applyAlignment="1">
      <alignment horizontal="center" vertical="center"/>
    </xf>
    <xf numFmtId="0" fontId="16" fillId="0" borderId="33" xfId="2620" applyBorder="1" applyAlignment="1">
      <alignment horizontal="center" vertical="center"/>
    </xf>
    <xf numFmtId="0" fontId="16" fillId="0" borderId="26" xfId="2620" applyBorder="1" applyAlignment="1">
      <alignment horizontal="center" vertical="center" wrapText="1"/>
    </xf>
    <xf numFmtId="0" fontId="16" fillId="0" borderId="4" xfId="2620" applyBorder="1" applyAlignment="1">
      <alignment horizontal="center" vertical="center" wrapText="1"/>
    </xf>
    <xf numFmtId="0" fontId="16" fillId="0" borderId="0" xfId="2620" applyAlignment="1">
      <alignment horizontal="center" vertical="center" wrapText="1"/>
    </xf>
    <xf numFmtId="0" fontId="16" fillId="0" borderId="22" xfId="2620" applyBorder="1" applyAlignment="1">
      <alignment horizontal="center"/>
    </xf>
    <xf numFmtId="0" fontId="16" fillId="0" borderId="47" xfId="2620" applyBorder="1" applyAlignment="1">
      <alignment horizontal="center"/>
    </xf>
    <xf numFmtId="0" fontId="16" fillId="0" borderId="4" xfId="2620" applyBorder="1" applyAlignment="1">
      <alignment horizontal="left" vertical="center" indent="1"/>
    </xf>
    <xf numFmtId="0" fontId="16" fillId="0" borderId="4" xfId="2620" applyBorder="1" applyAlignment="1">
      <alignment horizontal="center" vertical="center"/>
    </xf>
    <xf numFmtId="0" fontId="16" fillId="0" borderId="74" xfId="2620" applyBorder="1" applyAlignment="1">
      <alignment horizontal="center" vertical="center" wrapText="1"/>
    </xf>
    <xf numFmtId="0" fontId="16" fillId="0" borderId="0" xfId="2620" applyAlignment="1">
      <alignment horizontal="center" wrapText="1"/>
    </xf>
    <xf numFmtId="0" fontId="16" fillId="0" borderId="0" xfId="2620" applyAlignment="1">
      <alignment horizontal="justify" vertical="center" wrapText="1"/>
    </xf>
    <xf numFmtId="0" fontId="16" fillId="0" borderId="0" xfId="2620" applyAlignment="1">
      <alignment horizontal="left" vertical="center" wrapText="1"/>
    </xf>
    <xf numFmtId="17" fontId="16" fillId="0" borderId="26" xfId="2620" applyNumberFormat="1" applyBorder="1" applyAlignment="1">
      <alignment horizontal="center" vertical="center" wrapText="1"/>
    </xf>
    <xf numFmtId="17" fontId="16" fillId="0" borderId="4" xfId="2620" applyNumberFormat="1" applyBorder="1" applyAlignment="1">
      <alignment horizontal="center" vertical="center" wrapText="1"/>
    </xf>
    <xf numFmtId="0" fontId="16" fillId="0" borderId="34" xfId="2620" applyBorder="1" applyAlignment="1">
      <alignment horizontal="left" vertical="center" indent="7"/>
    </xf>
    <xf numFmtId="0" fontId="16" fillId="0" borderId="28" xfId="2620" applyBorder="1" applyAlignment="1">
      <alignment horizontal="left" vertical="center" indent="7"/>
    </xf>
    <xf numFmtId="0" fontId="16" fillId="0" borderId="29" xfId="2620" applyBorder="1" applyAlignment="1">
      <alignment horizontal="left" vertical="center" indent="7"/>
    </xf>
    <xf numFmtId="0" fontId="16" fillId="0" borderId="36" xfId="2620" applyBorder="1" applyAlignment="1">
      <alignment horizontal="left" vertical="center" indent="7"/>
    </xf>
    <xf numFmtId="0" fontId="16" fillId="0" borderId="37" xfId="2620" applyBorder="1" applyAlignment="1">
      <alignment horizontal="left" vertical="center" indent="7"/>
    </xf>
    <xf numFmtId="0" fontId="16" fillId="0" borderId="38" xfId="2620" applyBorder="1" applyAlignment="1">
      <alignment horizontal="left" vertical="center" indent="7"/>
    </xf>
    <xf numFmtId="0" fontId="16" fillId="0" borderId="25" xfId="2620" applyBorder="1" applyAlignment="1">
      <alignment horizontal="center" vertical="center" wrapText="1"/>
    </xf>
    <xf numFmtId="0" fontId="16" fillId="0" borderId="30" xfId="2620" applyBorder="1" applyAlignment="1">
      <alignment horizontal="left" vertical="center" wrapText="1" indent="1"/>
    </xf>
    <xf numFmtId="0" fontId="16" fillId="0" borderId="4" xfId="2620" applyBorder="1" applyAlignment="1">
      <alignment horizontal="left" vertical="center" wrapText="1" indent="1"/>
    </xf>
    <xf numFmtId="0" fontId="16" fillId="0" borderId="35" xfId="2620" applyBorder="1" applyAlignment="1">
      <alignment horizontal="center" vertical="center"/>
    </xf>
    <xf numFmtId="0" fontId="16" fillId="0" borderId="0" xfId="2620" applyFont="1" applyAlignment="1">
      <alignment horizontal="left" wrapText="1"/>
    </xf>
    <xf numFmtId="0" fontId="16" fillId="0" borderId="30" xfId="2620" applyBorder="1" applyAlignment="1">
      <alignment horizontal="center" vertical="center" wrapText="1"/>
    </xf>
    <xf numFmtId="17" fontId="16" fillId="0" borderId="4" xfId="2620" applyNumberFormat="1" applyBorder="1" applyAlignment="1">
      <alignment horizontal="left" vertical="center" wrapText="1" indent="1"/>
    </xf>
    <xf numFmtId="0" fontId="16" fillId="0" borderId="27" xfId="2620" applyBorder="1" applyAlignment="1">
      <alignment horizontal="center" vertical="center" wrapText="1"/>
    </xf>
    <xf numFmtId="0" fontId="16" fillId="0" borderId="53" xfId="2620" applyBorder="1" applyAlignment="1">
      <alignment horizontal="center" vertical="center" wrapText="1"/>
    </xf>
    <xf numFmtId="0" fontId="16" fillId="0" borderId="50" xfId="2620" applyBorder="1" applyAlignment="1">
      <alignment horizontal="center" vertical="center"/>
    </xf>
    <xf numFmtId="0" fontId="16" fillId="0" borderId="47" xfId="2620" applyBorder="1" applyAlignment="1">
      <alignment horizontal="center" vertical="center"/>
    </xf>
    <xf numFmtId="0" fontId="16" fillId="0" borderId="22" xfId="2620" applyBorder="1" applyAlignment="1">
      <alignment horizontal="center" vertical="center" wrapText="1"/>
    </xf>
    <xf numFmtId="0" fontId="16" fillId="0" borderId="0" xfId="2620" applyFont="1" applyAlignment="1">
      <alignment horizontal="justify" vertical="center" wrapText="1"/>
    </xf>
    <xf numFmtId="0" fontId="17" fillId="0" borderId="0" xfId="2620" applyFont="1" applyBorder="1" applyAlignment="1">
      <alignment wrapText="1"/>
    </xf>
    <xf numFmtId="0" fontId="18" fillId="0" borderId="0" xfId="2620" applyFont="1" applyBorder="1" applyAlignment="1">
      <alignment wrapText="1"/>
    </xf>
    <xf numFmtId="0" fontId="16" fillId="0" borderId="22" xfId="2620" applyBorder="1" applyAlignment="1">
      <alignment horizontal="center" vertical="center"/>
    </xf>
    <xf numFmtId="0" fontId="16" fillId="0" borderId="79" xfId="2620" applyBorder="1" applyAlignment="1">
      <alignment horizontal="center" vertical="center"/>
    </xf>
    <xf numFmtId="0" fontId="16" fillId="0" borderId="75" xfId="2620" applyBorder="1" applyAlignment="1">
      <alignment horizontal="center" vertical="center" wrapText="1"/>
    </xf>
    <xf numFmtId="0" fontId="16" fillId="0" borderId="76" xfId="2620" applyBorder="1" applyAlignment="1">
      <alignment horizontal="center" vertical="center" wrapText="1"/>
    </xf>
    <xf numFmtId="0" fontId="16" fillId="0" borderId="71" xfId="2620" applyBorder="1" applyAlignment="1">
      <alignment horizontal="center" vertical="center" wrapText="1"/>
    </xf>
    <xf numFmtId="0" fontId="16" fillId="0" borderId="23" xfId="2620" applyBorder="1" applyAlignment="1">
      <alignment horizontal="center" vertical="center" wrapText="1"/>
    </xf>
    <xf numFmtId="0" fontId="16" fillId="0" borderId="77" xfId="2620" applyBorder="1" applyAlignment="1">
      <alignment horizontal="center" vertical="center" wrapText="1"/>
    </xf>
    <xf numFmtId="0" fontId="16" fillId="0" borderId="78" xfId="2620" applyBorder="1" applyAlignment="1">
      <alignment horizontal="center" vertical="center" wrapText="1"/>
    </xf>
    <xf numFmtId="0" fontId="45" fillId="72" borderId="4" xfId="604" applyFont="1" applyFill="1" applyBorder="1" applyAlignment="1" applyProtection="1">
      <alignment horizontal="center"/>
      <protection locked="0"/>
    </xf>
    <xf numFmtId="0" fontId="15" fillId="72" borderId="4" xfId="604" applyFont="1" applyFill="1" applyBorder="1" applyAlignment="1" applyProtection="1">
      <alignment horizontal="center" wrapText="1"/>
      <protection locked="0"/>
    </xf>
    <xf numFmtId="0" fontId="6" fillId="0" borderId="22" xfId="2617" applyNumberFormat="1" applyFont="1" applyFill="1" applyBorder="1" applyAlignment="1" applyProtection="1">
      <alignment horizontal="center" vertical="top"/>
    </xf>
    <xf numFmtId="0" fontId="6" fillId="0" borderId="79" xfId="2617" applyNumberFormat="1" applyFont="1" applyFill="1" applyBorder="1" applyAlignment="1" applyProtection="1">
      <alignment horizontal="center" vertical="top"/>
    </xf>
    <xf numFmtId="0" fontId="7" fillId="3" borderId="49" xfId="2617" applyNumberFormat="1" applyFont="1" applyFill="1" applyBorder="1" applyAlignment="1" applyProtection="1">
      <alignment horizontal="center" vertical="center" wrapText="1"/>
      <protection locked="0"/>
    </xf>
    <xf numFmtId="0" fontId="7" fillId="3" borderId="30" xfId="2617" applyNumberFormat="1" applyFont="1" applyFill="1" applyBorder="1" applyAlignment="1" applyProtection="1">
      <alignment horizontal="center" vertical="center" wrapText="1"/>
      <protection locked="0"/>
    </xf>
    <xf numFmtId="0" fontId="7" fillId="3" borderId="31" xfId="2617" applyNumberFormat="1" applyFont="1" applyFill="1" applyBorder="1" applyAlignment="1" applyProtection="1">
      <alignment horizontal="center" vertical="center" wrapText="1"/>
      <protection locked="0"/>
    </xf>
    <xf numFmtId="0" fontId="6" fillId="0" borderId="80" xfId="2617" applyNumberFormat="1" applyFont="1" applyFill="1" applyBorder="1" applyAlignment="1" applyProtection="1">
      <alignment horizontal="center" vertical="center" wrapText="1"/>
    </xf>
    <xf numFmtId="0" fontId="6" fillId="0" borderId="81" xfId="2617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protection locked="0"/>
    </xf>
    <xf numFmtId="0" fontId="0" fillId="0" borderId="23" xfId="0" applyBorder="1" applyAlignment="1"/>
    <xf numFmtId="49" fontId="7" fillId="0" borderId="0" xfId="2621" applyNumberFormat="1" applyFont="1" applyBorder="1" applyAlignment="1">
      <alignment horizontal="center"/>
    </xf>
    <xf numFmtId="0" fontId="8" fillId="0" borderId="4" xfId="0" applyFont="1" applyBorder="1" applyAlignment="1" applyProtection="1">
      <alignment horizontal="center" vertical="center" wrapText="1" shrinkToFit="1"/>
    </xf>
    <xf numFmtId="0" fontId="8" fillId="52" borderId="4" xfId="0" applyFont="1" applyFill="1" applyBorder="1" applyAlignment="1" applyProtection="1">
      <alignment horizontal="center" vertical="center" wrapText="1" shrinkToFit="1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49" fontId="10" fillId="0" borderId="57" xfId="0" applyNumberFormat="1" applyFont="1" applyFill="1" applyBorder="1" applyAlignment="1" applyProtection="1">
      <alignment horizontal="center" vertical="center"/>
    </xf>
    <xf numFmtId="49" fontId="10" fillId="0" borderId="28" xfId="0" applyNumberFormat="1" applyFont="1" applyFill="1" applyBorder="1" applyAlignment="1" applyProtection="1">
      <alignment horizontal="center" vertical="center"/>
    </xf>
    <xf numFmtId="49" fontId="10" fillId="0" borderId="29" xfId="0" applyNumberFormat="1" applyFont="1" applyFill="1" applyBorder="1" applyAlignment="1" applyProtection="1">
      <alignment horizontal="center" vertical="center"/>
    </xf>
    <xf numFmtId="49" fontId="10" fillId="0" borderId="82" xfId="0" applyNumberFormat="1" applyFont="1" applyFill="1" applyBorder="1" applyAlignment="1" applyProtection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70" xfId="0" applyNumberFormat="1" applyFont="1" applyFill="1" applyBorder="1" applyAlignment="1" applyProtection="1">
      <alignment horizontal="center" vertical="center"/>
    </xf>
    <xf numFmtId="0" fontId="10" fillId="0" borderId="68" xfId="0" applyNumberFormat="1" applyFont="1" applyFill="1" applyBorder="1" applyAlignment="1" applyProtection="1">
      <alignment horizontal="center" vertical="center"/>
    </xf>
    <xf numFmtId="0" fontId="10" fillId="0" borderId="82" xfId="0" applyNumberFormat="1" applyFont="1" applyFill="1" applyBorder="1" applyAlignment="1" applyProtection="1">
      <alignment horizontal="center" vertical="center"/>
    </xf>
    <xf numFmtId="0" fontId="9" fillId="0" borderId="57" xfId="0" applyFont="1" applyBorder="1" applyAlignment="1">
      <alignment horizontal="right" vertical="center" wrapText="1"/>
    </xf>
    <xf numFmtId="0" fontId="9" fillId="0" borderId="28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3" xfId="0" applyNumberFormat="1" applyFont="1" applyFill="1" applyBorder="1" applyAlignment="1" applyProtection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right" vertical="center" wrapText="1"/>
    </xf>
    <xf numFmtId="0" fontId="10" fillId="0" borderId="4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wrapText="1"/>
    </xf>
    <xf numFmtId="0" fontId="32" fillId="0" borderId="0" xfId="0" applyFont="1" applyBorder="1" applyAlignment="1" applyProtection="1">
      <alignment horizont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 hidden="1"/>
    </xf>
    <xf numFmtId="0" fontId="38" fillId="52" borderId="4" xfId="0" applyFont="1" applyFill="1" applyBorder="1" applyAlignment="1" applyProtection="1">
      <alignment horizontal="center" vertical="center" wrapText="1"/>
      <protection locked="0" hidden="1"/>
    </xf>
    <xf numFmtId="0" fontId="38" fillId="0" borderId="4" xfId="0" applyFont="1" applyBorder="1" applyAlignment="1" applyProtection="1">
      <alignment horizontal="center" vertical="center" wrapText="1"/>
      <protection locked="0" hidden="1"/>
    </xf>
    <xf numFmtId="0" fontId="38" fillId="0" borderId="4" xfId="0" applyFont="1" applyBorder="1" applyAlignment="1" applyProtection="1">
      <alignment horizontal="center" vertical="center" wrapText="1"/>
      <protection locked="0"/>
    </xf>
    <xf numFmtId="170" fontId="15" fillId="72" borderId="4" xfId="604" applyNumberFormat="1" applyFill="1" applyBorder="1" applyAlignment="1" applyProtection="1">
      <alignment horizontal="center"/>
      <protection locked="0"/>
    </xf>
    <xf numFmtId="170" fontId="15" fillId="72" borderId="4" xfId="604" applyNumberFormat="1" applyFont="1" applyFill="1" applyBorder="1" applyAlignment="1" applyProtection="1">
      <alignment horizontal="center"/>
      <protection locked="0"/>
    </xf>
    <xf numFmtId="0" fontId="15" fillId="72" borderId="4" xfId="604" applyFont="1" applyFill="1" applyBorder="1" applyAlignment="1" applyProtection="1">
      <protection locked="0"/>
    </xf>
    <xf numFmtId="0" fontId="8" fillId="52" borderId="57" xfId="0" applyFont="1" applyFill="1" applyBorder="1" applyAlignment="1" applyProtection="1">
      <alignment horizontal="center" vertical="center" wrapText="1" shrinkToFit="1"/>
    </xf>
    <xf numFmtId="0" fontId="8" fillId="52" borderId="29" xfId="0" applyFont="1" applyFill="1" applyBorder="1" applyAlignment="1" applyProtection="1">
      <alignment horizontal="center" vertical="center" wrapText="1" shrinkToFit="1"/>
    </xf>
    <xf numFmtId="0" fontId="26" fillId="0" borderId="0" xfId="0" applyFont="1"/>
    <xf numFmtId="0" fontId="42" fillId="72" borderId="4" xfId="0" applyNumberFormat="1" applyFont="1" applyFill="1" applyBorder="1" applyAlignment="1">
      <alignment horizontal="center" vertical="center" wrapText="1"/>
    </xf>
    <xf numFmtId="0" fontId="42" fillId="0" borderId="27" xfId="0" applyNumberFormat="1" applyFont="1" applyBorder="1" applyAlignment="1">
      <alignment horizontal="center" vertical="center" wrapText="1"/>
    </xf>
    <xf numFmtId="0" fontId="42" fillId="0" borderId="26" xfId="0" applyNumberFormat="1" applyFont="1" applyBorder="1" applyAlignment="1">
      <alignment horizontal="center" vertical="center" wrapText="1"/>
    </xf>
    <xf numFmtId="0" fontId="42" fillId="0" borderId="4" xfId="0" applyNumberFormat="1" applyFont="1" applyBorder="1" applyAlignment="1">
      <alignment horizontal="center" vertical="center" wrapText="1"/>
    </xf>
    <xf numFmtId="0" fontId="42" fillId="0" borderId="43" xfId="0" applyNumberFormat="1" applyFont="1" applyBorder="1" applyAlignment="1">
      <alignment horizontal="center" vertical="center" wrapText="1"/>
    </xf>
    <xf numFmtId="0" fontId="42" fillId="0" borderId="70" xfId="0" applyNumberFormat="1" applyFont="1" applyBorder="1" applyAlignment="1">
      <alignment horizontal="center" vertical="center" wrapText="1"/>
    </xf>
    <xf numFmtId="0" fontId="30" fillId="0" borderId="53" xfId="0" applyNumberFormat="1" applyFont="1" applyBorder="1" applyAlignment="1">
      <alignment horizontal="center" vertical="center" wrapText="1"/>
    </xf>
    <xf numFmtId="0" fontId="30" fillId="0" borderId="26" xfId="0" applyNumberFormat="1" applyFont="1" applyBorder="1" applyAlignment="1">
      <alignment horizontal="center" vertical="center" wrapText="1"/>
    </xf>
    <xf numFmtId="0" fontId="30" fillId="0" borderId="71" xfId="0" applyNumberFormat="1" applyFont="1" applyBorder="1" applyAlignment="1">
      <alignment horizontal="center" vertical="center" wrapText="1"/>
    </xf>
    <xf numFmtId="0" fontId="30" fillId="0" borderId="70" xfId="0" applyNumberFormat="1" applyFont="1" applyBorder="1" applyAlignment="1">
      <alignment horizontal="center" vertical="center" wrapText="1"/>
    </xf>
    <xf numFmtId="0" fontId="30" fillId="0" borderId="4" xfId="0" applyNumberFormat="1" applyFont="1" applyBorder="1" applyAlignment="1">
      <alignment horizontal="center" vertical="center" wrapText="1"/>
    </xf>
    <xf numFmtId="170" fontId="45" fillId="72" borderId="4" xfId="604" applyNumberFormat="1" applyFont="1" applyFill="1" applyBorder="1" applyAlignment="1" applyProtection="1">
      <alignment horizontal="center"/>
      <protection locked="0"/>
    </xf>
    <xf numFmtId="0" fontId="45" fillId="72" borderId="4" xfId="604" applyFont="1" applyFill="1" applyBorder="1" applyAlignment="1" applyProtection="1"/>
    <xf numFmtId="0" fontId="32" fillId="0" borderId="0" xfId="0" applyFont="1" applyAlignment="1" applyProtection="1">
      <alignment horizontal="center"/>
      <protection locked="0"/>
    </xf>
    <xf numFmtId="0" fontId="8" fillId="52" borderId="57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67" fontId="15" fillId="72" borderId="4" xfId="604" applyNumberFormat="1" applyFont="1" applyFill="1" applyBorder="1" applyAlignment="1" applyProtection="1">
      <alignment horizontal="center"/>
      <protection locked="0"/>
    </xf>
    <xf numFmtId="0" fontId="15" fillId="72" borderId="4" xfId="604" applyFont="1" applyFill="1" applyBorder="1" applyAlignment="1" applyProtection="1">
      <alignment horizontal="center"/>
      <protection locked="0"/>
    </xf>
    <xf numFmtId="0" fontId="8" fillId="52" borderId="4" xfId="0" applyFont="1" applyFill="1" applyBorder="1" applyAlignment="1" applyProtection="1">
      <alignment horizontal="center" vertical="center" wrapText="1"/>
      <protection locked="0"/>
    </xf>
    <xf numFmtId="0" fontId="0" fillId="52" borderId="4" xfId="0" applyFill="1" applyBorder="1" applyAlignment="1">
      <alignment horizontal="center" vertical="center" wrapText="1"/>
    </xf>
    <xf numFmtId="0" fontId="32" fillId="0" borderId="0" xfId="0" applyFont="1" applyAlignment="1" applyProtection="1">
      <alignment horizontal="center" wrapText="1"/>
      <protection locked="0"/>
    </xf>
    <xf numFmtId="0" fontId="38" fillId="0" borderId="4" xfId="0" applyFont="1" applyFill="1" applyBorder="1" applyAlignment="1" applyProtection="1">
      <alignment horizontal="center" vertical="center" wrapText="1"/>
      <protection locked="0"/>
    </xf>
    <xf numFmtId="0" fontId="0" fillId="52" borderId="57" xfId="0" applyFill="1" applyBorder="1" applyAlignment="1">
      <alignment horizontal="center" vertical="center" wrapText="1"/>
    </xf>
    <xf numFmtId="0" fontId="0" fillId="52" borderId="29" xfId="0" applyFill="1" applyBorder="1" applyAlignment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 shrinkToFit="1"/>
    </xf>
    <xf numFmtId="0" fontId="32" fillId="52" borderId="4" xfId="0" applyFont="1" applyFill="1" applyBorder="1" applyAlignment="1" applyProtection="1">
      <alignment horizontal="center" vertical="center" wrapText="1" shrinkToFit="1"/>
    </xf>
    <xf numFmtId="0" fontId="21" fillId="0" borderId="0" xfId="2620" applyFont="1" applyBorder="1" applyAlignment="1">
      <alignment horizontal="center" wrapText="1"/>
    </xf>
    <xf numFmtId="0" fontId="24" fillId="0" borderId="0" xfId="0" applyFont="1" applyFill="1" applyAlignment="1" applyProtection="1">
      <alignment horizont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8" fillId="0" borderId="4" xfId="0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32" fillId="0" borderId="0" xfId="2619" applyFont="1" applyFill="1" applyBorder="1" applyAlignment="1" applyProtection="1">
      <alignment horizontal="center" vertical="center" wrapText="1"/>
      <protection locked="0"/>
    </xf>
    <xf numFmtId="0" fontId="8" fillId="0" borderId="4" xfId="2619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51" fillId="0" borderId="0" xfId="0" applyFont="1" applyBorder="1" applyAlignment="1">
      <alignment horizontal="center" vertical="center" wrapText="1"/>
    </xf>
    <xf numFmtId="0" fontId="0" fillId="0" borderId="4" xfId="0" applyBorder="1"/>
    <xf numFmtId="0" fontId="38" fillId="0" borderId="0" xfId="0" applyFont="1" applyAlignment="1">
      <alignment horizontal="center" vertical="center"/>
    </xf>
    <xf numFmtId="0" fontId="39" fillId="52" borderId="0" xfId="0" applyFont="1" applyFill="1" applyAlignment="1">
      <alignment horizontal="center" vertical="center"/>
    </xf>
    <xf numFmtId="0" fontId="7" fillId="72" borderId="4" xfId="0" applyFont="1" applyFill="1" applyBorder="1" applyAlignment="1">
      <alignment horizontal="center" vertical="center"/>
    </xf>
    <xf numFmtId="0" fontId="0" fillId="0" borderId="0" xfId="0"/>
    <xf numFmtId="0" fontId="9" fillId="0" borderId="5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7" fillId="0" borderId="25" xfId="719" applyFont="1" applyBorder="1" applyAlignment="1">
      <alignment horizontal="center" vertical="center"/>
    </xf>
    <xf numFmtId="0" fontId="7" fillId="0" borderId="31" xfId="719" applyFont="1" applyBorder="1" applyAlignment="1">
      <alignment horizontal="center" vertical="center"/>
    </xf>
    <xf numFmtId="0" fontId="7" fillId="0" borderId="39" xfId="719" applyFont="1" applyBorder="1" applyAlignment="1">
      <alignment horizontal="center" vertical="center"/>
    </xf>
    <xf numFmtId="0" fontId="7" fillId="0" borderId="41" xfId="719" applyFont="1" applyBorder="1" applyAlignment="1">
      <alignment horizontal="center" vertical="center"/>
    </xf>
    <xf numFmtId="0" fontId="0" fillId="0" borderId="108" xfId="0" applyBorder="1" applyAlignment="1">
      <alignment horizontal="center" vertical="top" wrapText="1"/>
    </xf>
    <xf numFmtId="0" fontId="0" fillId="0" borderId="107" xfId="0" applyBorder="1" applyAlignment="1">
      <alignment horizontal="center" vertical="top" wrapText="1"/>
    </xf>
    <xf numFmtId="0" fontId="0" fillId="0" borderId="62" xfId="0" applyBorder="1" applyAlignment="1">
      <alignment horizontal="center" vertical="top" wrapText="1"/>
    </xf>
    <xf numFmtId="0" fontId="9" fillId="0" borderId="56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7" fillId="0" borderId="19" xfId="719" applyFont="1" applyBorder="1" applyAlignment="1">
      <alignment horizontal="center" vertical="top" wrapText="1"/>
    </xf>
    <xf numFmtId="0" fontId="7" fillId="0" borderId="19" xfId="719" applyFont="1" applyBorder="1" applyAlignment="1">
      <alignment horizontal="center" vertical="center"/>
    </xf>
    <xf numFmtId="0" fontId="7" fillId="0" borderId="19" xfId="719" applyFont="1" applyBorder="1" applyAlignment="1">
      <alignment horizontal="center" vertical="center" wrapText="1"/>
    </xf>
    <xf numFmtId="0" fontId="8" fillId="0" borderId="0" xfId="719" applyFont="1" applyBorder="1" applyAlignment="1">
      <alignment horizontal="left" vertical="center" wrapText="1"/>
    </xf>
    <xf numFmtId="0" fontId="7" fillId="0" borderId="0" xfId="719" applyFont="1" applyAlignment="1">
      <alignment horizontal="left" vertical="center" wrapText="1"/>
    </xf>
    <xf numFmtId="0" fontId="8" fillId="0" borderId="0" xfId="719" applyFont="1" applyBorder="1" applyAlignment="1">
      <alignment horizontal="center" vertical="center" wrapText="1"/>
    </xf>
    <xf numFmtId="0" fontId="27" fillId="88" borderId="34" xfId="719" applyFont="1" applyFill="1" applyBorder="1" applyAlignment="1">
      <alignment horizontal="left" vertical="center"/>
    </xf>
    <xf numFmtId="0" fontId="27" fillId="88" borderId="28" xfId="719" applyFont="1" applyFill="1" applyBorder="1" applyAlignment="1">
      <alignment horizontal="left" vertical="center"/>
    </xf>
    <xf numFmtId="0" fontId="27" fillId="88" borderId="105" xfId="719" applyFont="1" applyFill="1" applyBorder="1" applyAlignment="1">
      <alignment horizontal="left" vertical="center"/>
    </xf>
    <xf numFmtId="166" fontId="8" fillId="88" borderId="65" xfId="719" applyNumberFormat="1" applyFont="1" applyFill="1" applyBorder="1" applyAlignment="1">
      <alignment horizontal="center" vertical="center"/>
    </xf>
    <xf numFmtId="0" fontId="27" fillId="88" borderId="36" xfId="719" applyFont="1" applyFill="1" applyBorder="1" applyAlignment="1">
      <alignment horizontal="right" vertical="center"/>
    </xf>
    <xf numFmtId="0" fontId="27" fillId="88" borderId="37" xfId="719" applyFont="1" applyFill="1" applyBorder="1" applyAlignment="1">
      <alignment horizontal="right" vertical="center"/>
    </xf>
    <xf numFmtId="0" fontId="27" fillId="88" borderId="52" xfId="719" applyFont="1" applyFill="1" applyBorder="1" applyAlignment="1">
      <alignment horizontal="right" vertical="center"/>
    </xf>
    <xf numFmtId="166" fontId="8" fillId="88" borderId="36" xfId="719" applyNumberFormat="1" applyFont="1" applyFill="1" applyBorder="1" applyAlignment="1">
      <alignment horizontal="center" vertical="center"/>
    </xf>
    <xf numFmtId="166" fontId="8" fillId="88" borderId="52" xfId="719" applyNumberFormat="1" applyFont="1" applyFill="1" applyBorder="1" applyAlignment="1">
      <alignment horizontal="center" vertical="center"/>
    </xf>
    <xf numFmtId="0" fontId="7" fillId="0" borderId="100" xfId="719" applyFont="1" applyBorder="1" applyAlignment="1">
      <alignment horizontal="center" vertical="top"/>
    </xf>
    <xf numFmtId="0" fontId="7" fillId="0" borderId="63" xfId="719" applyFont="1" applyBorder="1" applyAlignment="1">
      <alignment horizontal="center" vertical="top"/>
    </xf>
    <xf numFmtId="0" fontId="7" fillId="0" borderId="101" xfId="719" applyFont="1" applyBorder="1" applyAlignment="1">
      <alignment horizontal="center" vertical="top"/>
    </xf>
    <xf numFmtId="0" fontId="7" fillId="0" borderId="60" xfId="719" applyFont="1" applyBorder="1" applyAlignment="1">
      <alignment horizontal="center" vertical="top"/>
    </xf>
    <xf numFmtId="49" fontId="7" fillId="0" borderId="64" xfId="719" applyNumberFormat="1" applyFont="1" applyBorder="1" applyAlignment="1">
      <alignment horizontal="center" vertical="center"/>
    </xf>
    <xf numFmtId="49" fontId="7" fillId="0" borderId="65" xfId="719" applyNumberFormat="1" applyFont="1" applyBorder="1" applyAlignment="1">
      <alignment horizontal="center" vertical="center"/>
    </xf>
    <xf numFmtId="49" fontId="7" fillId="0" borderId="69" xfId="719" applyNumberFormat="1" applyFont="1" applyBorder="1" applyAlignment="1">
      <alignment horizontal="center" vertical="center"/>
    </xf>
    <xf numFmtId="0" fontId="7" fillId="0" borderId="64" xfId="719" applyFont="1" applyBorder="1" applyAlignment="1">
      <alignment horizontal="center" vertical="center"/>
    </xf>
    <xf numFmtId="0" fontId="7" fillId="0" borderId="65" xfId="719" applyFont="1" applyBorder="1" applyAlignment="1">
      <alignment horizontal="center" vertical="center"/>
    </xf>
    <xf numFmtId="0" fontId="7" fillId="0" borderId="69" xfId="719" applyFont="1" applyBorder="1" applyAlignment="1">
      <alignment horizontal="center" vertical="center"/>
    </xf>
    <xf numFmtId="0" fontId="7" fillId="0" borderId="108" xfId="719" applyFont="1" applyBorder="1" applyAlignment="1">
      <alignment horizontal="center" vertical="center" wrapText="1"/>
    </xf>
    <xf numFmtId="0" fontId="7" fillId="0" borderId="107" xfId="719" applyFont="1" applyBorder="1" applyAlignment="1">
      <alignment horizontal="center" vertical="center" wrapText="1"/>
    </xf>
    <xf numFmtId="0" fontId="7" fillId="0" borderId="62" xfId="719" applyFont="1" applyBorder="1" applyAlignment="1">
      <alignment horizontal="center" vertical="center" wrapText="1"/>
    </xf>
    <xf numFmtId="0" fontId="7" fillId="0" borderId="48" xfId="719" applyFont="1" applyBorder="1" applyAlignment="1">
      <alignment horizontal="center" wrapText="1"/>
    </xf>
    <xf numFmtId="0" fontId="7" fillId="0" borderId="46" xfId="719" applyFont="1" applyBorder="1" applyAlignment="1">
      <alignment horizontal="center" wrapText="1"/>
    </xf>
    <xf numFmtId="0" fontId="7" fillId="0" borderId="48" xfId="719" applyFont="1" applyBorder="1" applyAlignment="1">
      <alignment horizontal="center" vertical="center" wrapText="1"/>
    </xf>
    <xf numFmtId="0" fontId="7" fillId="0" borderId="46" xfId="719" applyFont="1" applyBorder="1" applyAlignment="1">
      <alignment horizontal="center" vertical="center" wrapText="1"/>
    </xf>
    <xf numFmtId="0" fontId="7" fillId="0" borderId="103" xfId="719" applyFont="1" applyBorder="1" applyAlignment="1">
      <alignment horizontal="center" vertical="center" wrapText="1"/>
    </xf>
    <xf numFmtId="0" fontId="7" fillId="0" borderId="104" xfId="719" applyFont="1" applyBorder="1" applyAlignment="1">
      <alignment horizontal="center" vertical="center" wrapText="1"/>
    </xf>
    <xf numFmtId="0" fontId="7" fillId="0" borderId="64" xfId="71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</cellXfs>
  <cellStyles count="2777">
    <cellStyle name=" 1" xfId="1"/>
    <cellStyle name="%" xfId="2"/>
    <cellStyle name="%_Inputs" xfId="3"/>
    <cellStyle name="%_Inputs (const)" xfId="4"/>
    <cellStyle name="%_Inputs Co" xfId="5"/>
    <cellStyle name="_!!! отчетные Форматы минэнерго к ИП 2011 (1.11.10)" xfId="6"/>
    <cellStyle name="___RAB__2014" xfId="7"/>
    <cellStyle name="_01-Свод НВВ 2011_постатейно" xfId="8"/>
    <cellStyle name="_2010 ПО, потери" xfId="9"/>
    <cellStyle name="_2011 ПО, потери" xfId="10"/>
    <cellStyle name="_Model_RAB Мой" xfId="11"/>
    <cellStyle name="_Model_RAB Мой_PR.PROG.WARM.NOTCOMBI.2012.2.16_v1.4(04.04.11) " xfId="12"/>
    <cellStyle name="_Model_RAB Мой_Книга2_PR.PROG.WARM.NOTCOMBI.2012.2.16_v1.4(04.04.11) " xfId="13"/>
    <cellStyle name="_Model_RAB_MRSK_svod" xfId="14"/>
    <cellStyle name="_Model_RAB_MRSK_svod_PR.PROG.WARM.NOTCOMBI.2012.2.16_v1.4(04.04.11) " xfId="15"/>
    <cellStyle name="_Model_RAB_MRSK_svod_Книга2_PR.PROG.WARM.NOTCOMBI.2012.2.16_v1.4(04.04.11) " xfId="16"/>
    <cellStyle name="_RAB Астрахань послед. 26.03.10" xfId="17"/>
    <cellStyle name="_Волгоград" xfId="18"/>
    <cellStyle name="_Волгоград Модель_RAB  ( опер.утв.2009, со сглаж.6,2%)" xfId="19"/>
    <cellStyle name="_Волгоград Модель_RAB ( опер.утв.2009) 6,2 БС" xfId="20"/>
    <cellStyle name="_выпадающие доходы от снижения ПО (1)" xfId="21"/>
    <cellStyle name="_выручка по присоединениям2" xfId="22"/>
    <cellStyle name="_Дефицит Выручки-2010" xfId="23"/>
    <cellStyle name="_ЕИАС" xfId="24"/>
    <cellStyle name="_Исходные данные для модели" xfId="25"/>
    <cellStyle name="_калмыкия 2010" xfId="26"/>
    <cellStyle name="_Кап.вложения - табл 6.2.5" xfId="27"/>
    <cellStyle name="_Книга2" xfId="28"/>
    <cellStyle name="_Конечный вариант КАП ВЛОЖ на ПРИС по 4 филиалам (741 829 из 11 000 руб) без 1 и 2 кв и впу 14_06 на общую 2 772 млрд" xfId="29"/>
    <cellStyle name="_Копия RAB_КЭ_с тарифными решениями 2010 (2) (2)" xfId="30"/>
    <cellStyle name="_Копия Модель_RAB_Калмэнерго_рост10 (опер на уровне утв 2009 со сглаж )" xfId="31"/>
    <cellStyle name="_Коррект 2009 формула16" xfId="32"/>
    <cellStyle name="_Корректировка НВВ 2011 АЭ" xfId="33"/>
    <cellStyle name="_Кубань НВВ (2)" xfId="34"/>
    <cellStyle name="_Лист4" xfId="35"/>
    <cellStyle name="_Макет_Итоговый лист по анализу ИПР" xfId="36"/>
    <cellStyle name="_меню по ТП (2)" xfId="37"/>
    <cellStyle name="_МОДЕЛЬ_1 (2)" xfId="38"/>
    <cellStyle name="_МОДЕЛЬ_1 (2)_PR.PROG.WARM.NOTCOMBI.2012.2.16_v1.4(04.04.11) " xfId="39"/>
    <cellStyle name="_МОДЕЛЬ_1 (2)_Книга2_PR.PROG.WARM.NOTCOMBI.2012.2.16_v1.4(04.04.11) " xfId="40"/>
    <cellStyle name="_Модель_RAB (формат 08032009)" xfId="41"/>
    <cellStyle name="_НВВ 2009 постатейно свод по филиалам_09_02_09" xfId="42"/>
    <cellStyle name="_НВВ 2009 постатейно свод по филиалам_для Валентина" xfId="43"/>
    <cellStyle name="_Омск" xfId="44"/>
    <cellStyle name="_П 1.3, 1.4, 1.5." xfId="45"/>
    <cellStyle name="_П1.16.3_2008-2011 (1)" xfId="46"/>
    <cellStyle name="_Передача 2005_отпр в РЭК_сентябрь2005" xfId="47"/>
    <cellStyle name="_Плановая выручка 2010-по  двум  договорам" xfId="48"/>
    <cellStyle name="_пр 5 тариф RAB" xfId="49"/>
    <cellStyle name="_пр 5 тариф RAB_PR.PROG.WARM.NOTCOMBI.2012.2.16_v1.4(04.04.11) " xfId="50"/>
    <cellStyle name="_пр 5 тариф RAB_Книга2_PR.PROG.WARM.NOTCOMBI.2012.2.16_v1.4(04.04.11) " xfId="51"/>
    <cellStyle name="_Предожение _ДБП_2009 г ( согласованные БП)  (2)" xfId="52"/>
    <cellStyle name="_Приведенная НВВ 2011" xfId="53"/>
    <cellStyle name="_Прил 3-3.2 Статьи сметы затрат и расход из приб КЭН" xfId="54"/>
    <cellStyle name="_Приложение 2,3-3.2" xfId="55"/>
    <cellStyle name="_Приложение МТС-3-КС" xfId="56"/>
    <cellStyle name="_Приложение-МТС--2-1" xfId="57"/>
    <cellStyle name="_Приложения 1_4кприказу_филиала_31_03_11" xfId="58"/>
    <cellStyle name="_Расчет RAB_22072008" xfId="59"/>
    <cellStyle name="_Расчет RAB_22072008_PR.PROG.WARM.NOTCOMBI.2012.2.16_v1.4(04.04.11) " xfId="60"/>
    <cellStyle name="_Расчет RAB_22072008_Книга2_PR.PROG.WARM.NOTCOMBI.2012.2.16_v1.4(04.04.11) " xfId="61"/>
    <cellStyle name="_Расчет RAB_Лен и МОЭСК_с 2010 года_14.04.2009_со сглаж_version 3.0_без ФСК" xfId="62"/>
    <cellStyle name="_Расчет RAB_Лен и МОЭСК_с 2010 года_14.04.2009_со сглаж_version 3.0_без ФСК_PR.PROG.WARM.NOTCOMBI.2012.2.16_v1.4(04.04.11) " xfId="63"/>
    <cellStyle name="_Расчет RAB_Лен и МОЭСК_с 2010 года_14.04.2009_со сглаж_version 3.0_без ФСК_Книга2_PR.PROG.WARM.NOTCOMBI.2012.2.16_v1.4(04.04.11) " xfId="64"/>
    <cellStyle name="_Расчет по RAB корректировка НВВ 2011 АЭ" xfId="65"/>
    <cellStyle name="_Расчет под  Заключение-Самара" xfId="66"/>
    <cellStyle name="_Расчет_конечные тарифы_2010г " xfId="67"/>
    <cellStyle name="_расшифровки" xfId="68"/>
    <cellStyle name="_реестр" xfId="69"/>
    <cellStyle name="_Ростов НВВ на 2010-2014" xfId="70"/>
    <cellStyle name="_РЭ_RAB_продление_28_09_10 _новаяИПР" xfId="71"/>
    <cellStyle name="_Свод по ИПР (2)" xfId="72"/>
    <cellStyle name="_Согласования_0810_final" xfId="73"/>
    <cellStyle name="_таблицы для расчетов28-04-08_2006-2009_прибыль корр_по ИА" xfId="74"/>
    <cellStyle name="_таблицы для расчетов28-04-08_2006-2009с ИА" xfId="75"/>
    <cellStyle name="_Форма 6  РТК.xls(отчет по Адр пр. ЛО)" xfId="76"/>
    <cellStyle name="_форма П1.30 для УРТ" xfId="77"/>
    <cellStyle name="_Формат НВВ (для пилотов по RAB) 12 мес_вар 2 без нагрузочных" xfId="78"/>
    <cellStyle name="_Формат разбивки по МРСК_РСК" xfId="79"/>
    <cellStyle name="_Формат расчета неподконтрольных" xfId="80"/>
    <cellStyle name="_Формат_для Согласования" xfId="81"/>
    <cellStyle name="_Формат_Сводный для согласования" xfId="82"/>
    <cellStyle name="’ћѓћ‚›‰" xfId="88"/>
    <cellStyle name="”ќђќ‘ћ‚›‰" xfId="83"/>
    <cellStyle name="”љ‘ђћ‚ђќќ›‰" xfId="84"/>
    <cellStyle name="„…ќ…†ќ›‰" xfId="85"/>
    <cellStyle name="‡ђѓћ‹ћ‚ћљ1" xfId="86"/>
    <cellStyle name="‡ђѓћ‹ћ‚ћљ2" xfId="87"/>
    <cellStyle name="20% - Accent1" xfId="89"/>
    <cellStyle name="20% - Accent2" xfId="90"/>
    <cellStyle name="20% - Accent3" xfId="91"/>
    <cellStyle name="20% - Accent4" xfId="92"/>
    <cellStyle name="20% - Accent5" xfId="93"/>
    <cellStyle name="20% - Accent6" xfId="94"/>
    <cellStyle name="20% - Акцент1 10" xfId="95"/>
    <cellStyle name="20% - Акцент1 11" xfId="96"/>
    <cellStyle name="20% - Акцент1 2" xfId="97"/>
    <cellStyle name="20% - Акцент1 3" xfId="98"/>
    <cellStyle name="20% - Акцент1 4" xfId="99"/>
    <cellStyle name="20% - Акцент1 5" xfId="100"/>
    <cellStyle name="20% - Акцент1 6" xfId="101"/>
    <cellStyle name="20% - Акцент1 7" xfId="102"/>
    <cellStyle name="20% - Акцент1 8" xfId="103"/>
    <cellStyle name="20% - Акцент1 9" xfId="104"/>
    <cellStyle name="20% - Акцент2 10" xfId="105"/>
    <cellStyle name="20% - Акцент2 11" xfId="106"/>
    <cellStyle name="20% - Акцент2 2" xfId="107"/>
    <cellStyle name="20% - Акцент2 3" xfId="108"/>
    <cellStyle name="20% - Акцент2 4" xfId="109"/>
    <cellStyle name="20% - Акцент2 5" xfId="110"/>
    <cellStyle name="20% - Акцент2 6" xfId="111"/>
    <cellStyle name="20% - Акцент2 7" xfId="112"/>
    <cellStyle name="20% - Акцент2 8" xfId="113"/>
    <cellStyle name="20% - Акцент2 9" xfId="114"/>
    <cellStyle name="20% - Акцент3 10" xfId="115"/>
    <cellStyle name="20% - Акцент3 11" xfId="116"/>
    <cellStyle name="20% - Акцент3 2" xfId="117"/>
    <cellStyle name="20% - Акцент3 3" xfId="118"/>
    <cellStyle name="20% - Акцент3 4" xfId="119"/>
    <cellStyle name="20% - Акцент3 5" xfId="120"/>
    <cellStyle name="20% - Акцент3 6" xfId="121"/>
    <cellStyle name="20% - Акцент3 7" xfId="122"/>
    <cellStyle name="20% - Акцент3 8" xfId="123"/>
    <cellStyle name="20% - Акцент3 9" xfId="124"/>
    <cellStyle name="20% - Акцент4 10" xfId="125"/>
    <cellStyle name="20% - Акцент4 11" xfId="126"/>
    <cellStyle name="20% - Акцент4 2" xfId="127"/>
    <cellStyle name="20% - Акцент4 3" xfId="128"/>
    <cellStyle name="20% - Акцент4 4" xfId="129"/>
    <cellStyle name="20% - Акцент4 5" xfId="130"/>
    <cellStyle name="20% - Акцент4 6" xfId="131"/>
    <cellStyle name="20% - Акцент4 7" xfId="132"/>
    <cellStyle name="20% - Акцент4 8" xfId="133"/>
    <cellStyle name="20% - Акцент4 9" xfId="134"/>
    <cellStyle name="20% - Акцент5 10" xfId="135"/>
    <cellStyle name="20% - Акцент5 11" xfId="136"/>
    <cellStyle name="20% - Акцент5 2" xfId="137"/>
    <cellStyle name="20% - Акцент5 3" xfId="138"/>
    <cellStyle name="20% - Акцент5 4" xfId="139"/>
    <cellStyle name="20% - Акцент5 5" xfId="140"/>
    <cellStyle name="20% - Акцент5 6" xfId="141"/>
    <cellStyle name="20% - Акцент5 7" xfId="142"/>
    <cellStyle name="20% - Акцент5 8" xfId="143"/>
    <cellStyle name="20% - Акцент5 9" xfId="144"/>
    <cellStyle name="20% - Акцент6 10" xfId="145"/>
    <cellStyle name="20% - Акцент6 11" xfId="146"/>
    <cellStyle name="20% - Акцент6 2" xfId="147"/>
    <cellStyle name="20% - Акцент6 3" xfId="148"/>
    <cellStyle name="20% - Акцент6 4" xfId="149"/>
    <cellStyle name="20% - Акцент6 5" xfId="150"/>
    <cellStyle name="20% - Акцент6 6" xfId="151"/>
    <cellStyle name="20% - Акцент6 7" xfId="152"/>
    <cellStyle name="20% - Акцент6 8" xfId="153"/>
    <cellStyle name="20% - Акцент6 9" xfId="154"/>
    <cellStyle name="40% - Accent1" xfId="155"/>
    <cellStyle name="40% - Accent2" xfId="156"/>
    <cellStyle name="40% - Accent3" xfId="157"/>
    <cellStyle name="40% - Accent4" xfId="158"/>
    <cellStyle name="40% - Accent5" xfId="159"/>
    <cellStyle name="40% - Accent6" xfId="160"/>
    <cellStyle name="40% - Акцент1 10" xfId="161"/>
    <cellStyle name="40% - Акцент1 11" xfId="162"/>
    <cellStyle name="40% - Акцент1 2" xfId="163"/>
    <cellStyle name="40% - Акцент1 3" xfId="164"/>
    <cellStyle name="40% - Акцент1 4" xfId="165"/>
    <cellStyle name="40% - Акцент1 5" xfId="166"/>
    <cellStyle name="40% - Акцент1 6" xfId="167"/>
    <cellStyle name="40% - Акцент1 7" xfId="168"/>
    <cellStyle name="40% - Акцент1 8" xfId="169"/>
    <cellStyle name="40% - Акцент1 9" xfId="170"/>
    <cellStyle name="40% - Акцент2 10" xfId="171"/>
    <cellStyle name="40% - Акцент2 11" xfId="172"/>
    <cellStyle name="40% - Акцент2 2" xfId="173"/>
    <cellStyle name="40% - Акцент2 3" xfId="174"/>
    <cellStyle name="40% - Акцент2 4" xfId="175"/>
    <cellStyle name="40% - Акцент2 5" xfId="176"/>
    <cellStyle name="40% - Акцент2 6" xfId="177"/>
    <cellStyle name="40% - Акцент2 7" xfId="178"/>
    <cellStyle name="40% - Акцент2 8" xfId="179"/>
    <cellStyle name="40% - Акцент2 9" xfId="180"/>
    <cellStyle name="40% - Акцент3 10" xfId="181"/>
    <cellStyle name="40% - Акцент3 11" xfId="182"/>
    <cellStyle name="40% - Акцент3 2" xfId="183"/>
    <cellStyle name="40% - Акцент3 3" xfId="184"/>
    <cellStyle name="40% - Акцент3 4" xfId="185"/>
    <cellStyle name="40% - Акцент3 5" xfId="186"/>
    <cellStyle name="40% - Акцент3 6" xfId="187"/>
    <cellStyle name="40% - Акцент3 7" xfId="188"/>
    <cellStyle name="40% - Акцент3 8" xfId="189"/>
    <cellStyle name="40% - Акцент3 9" xfId="190"/>
    <cellStyle name="40% - Акцент4 10" xfId="191"/>
    <cellStyle name="40% - Акцент4 11" xfId="192"/>
    <cellStyle name="40% - Акцент4 2" xfId="193"/>
    <cellStyle name="40% - Акцент4 3" xfId="194"/>
    <cellStyle name="40% - Акцент4 4" xfId="195"/>
    <cellStyle name="40% - Акцент4 5" xfId="196"/>
    <cellStyle name="40% - Акцент4 6" xfId="197"/>
    <cellStyle name="40% - Акцент4 7" xfId="198"/>
    <cellStyle name="40% - Акцент4 8" xfId="199"/>
    <cellStyle name="40% - Акцент4 9" xfId="200"/>
    <cellStyle name="40% - Акцент5 10" xfId="201"/>
    <cellStyle name="40% - Акцент5 11" xfId="202"/>
    <cellStyle name="40% - Акцент5 2" xfId="203"/>
    <cellStyle name="40% - Акцент5 3" xfId="204"/>
    <cellStyle name="40% - Акцент5 4" xfId="205"/>
    <cellStyle name="40% - Акцент5 5" xfId="206"/>
    <cellStyle name="40% - Акцент5 6" xfId="207"/>
    <cellStyle name="40% - Акцент5 7" xfId="208"/>
    <cellStyle name="40% - Акцент5 8" xfId="209"/>
    <cellStyle name="40% - Акцент5 9" xfId="210"/>
    <cellStyle name="40% - Акцент6 10" xfId="211"/>
    <cellStyle name="40% - Акцент6 11" xfId="212"/>
    <cellStyle name="40% - Акцент6 2" xfId="213"/>
    <cellStyle name="40% - Акцент6 3" xfId="214"/>
    <cellStyle name="40% - Акцент6 4" xfId="215"/>
    <cellStyle name="40% - Акцент6 5" xfId="216"/>
    <cellStyle name="40% - Акцент6 6" xfId="217"/>
    <cellStyle name="40% - Акцент6 7" xfId="218"/>
    <cellStyle name="40% - Акцент6 8" xfId="219"/>
    <cellStyle name="40% - Акцент6 9" xfId="220"/>
    <cellStyle name="60% - Accent1" xfId="221"/>
    <cellStyle name="60% - Accent2" xfId="222"/>
    <cellStyle name="60% - Accent3" xfId="223"/>
    <cellStyle name="60% - Accent4" xfId="224"/>
    <cellStyle name="60% - Accent5" xfId="225"/>
    <cellStyle name="60% - Accent6" xfId="226"/>
    <cellStyle name="60% - Акцент1 10" xfId="227"/>
    <cellStyle name="60% - Акцент1 11" xfId="228"/>
    <cellStyle name="60% - Акцент1 2" xfId="229"/>
    <cellStyle name="60% - Акцент1 3" xfId="230"/>
    <cellStyle name="60% - Акцент1 4" xfId="231"/>
    <cellStyle name="60% - Акцент1 5" xfId="232"/>
    <cellStyle name="60% - Акцент1 6" xfId="233"/>
    <cellStyle name="60% - Акцент1 7" xfId="234"/>
    <cellStyle name="60% - Акцент1 8" xfId="235"/>
    <cellStyle name="60% - Акцент1 9" xfId="236"/>
    <cellStyle name="60% - Акцент2 10" xfId="237"/>
    <cellStyle name="60% - Акцент2 11" xfId="238"/>
    <cellStyle name="60% - Акцент2 2" xfId="239"/>
    <cellStyle name="60% - Акцент2 3" xfId="240"/>
    <cellStyle name="60% - Акцент2 4" xfId="241"/>
    <cellStyle name="60% - Акцент2 5" xfId="242"/>
    <cellStyle name="60% - Акцент2 6" xfId="243"/>
    <cellStyle name="60% - Акцент2 7" xfId="244"/>
    <cellStyle name="60% - Акцент2 8" xfId="245"/>
    <cellStyle name="60% - Акцент2 9" xfId="246"/>
    <cellStyle name="60% - Акцент3 10" xfId="247"/>
    <cellStyle name="60% - Акцент3 11" xfId="248"/>
    <cellStyle name="60% - Акцент3 2" xfId="249"/>
    <cellStyle name="60% - Акцент3 3" xfId="250"/>
    <cellStyle name="60% - Акцент3 4" xfId="251"/>
    <cellStyle name="60% - Акцент3 5" xfId="252"/>
    <cellStyle name="60% - Акцент3 6" xfId="253"/>
    <cellStyle name="60% - Акцент3 7" xfId="254"/>
    <cellStyle name="60% - Акцент3 8" xfId="255"/>
    <cellStyle name="60% - Акцент3 9" xfId="256"/>
    <cellStyle name="60% - Акцент4 10" xfId="257"/>
    <cellStyle name="60% - Акцент4 11" xfId="258"/>
    <cellStyle name="60% - Акцент4 2" xfId="259"/>
    <cellStyle name="60% - Акцент4 3" xfId="260"/>
    <cellStyle name="60% - Акцент4 4" xfId="261"/>
    <cellStyle name="60% - Акцент4 5" xfId="262"/>
    <cellStyle name="60% - Акцент4 6" xfId="263"/>
    <cellStyle name="60% - Акцент4 7" xfId="264"/>
    <cellStyle name="60% - Акцент4 8" xfId="265"/>
    <cellStyle name="60% - Акцент4 9" xfId="266"/>
    <cellStyle name="60% - Акцент5 10" xfId="267"/>
    <cellStyle name="60% - Акцент5 11" xfId="268"/>
    <cellStyle name="60% - Акцент5 2" xfId="269"/>
    <cellStyle name="60% - Акцент5 3" xfId="270"/>
    <cellStyle name="60% - Акцент5 4" xfId="271"/>
    <cellStyle name="60% - Акцент5 5" xfId="272"/>
    <cellStyle name="60% - Акцент5 6" xfId="273"/>
    <cellStyle name="60% - Акцент5 7" xfId="274"/>
    <cellStyle name="60% - Акцент5 8" xfId="275"/>
    <cellStyle name="60% - Акцент5 9" xfId="276"/>
    <cellStyle name="60% - Акцент6 10" xfId="277"/>
    <cellStyle name="60% - Акцент6 11" xfId="278"/>
    <cellStyle name="60% - Акцент6 2" xfId="279"/>
    <cellStyle name="60% - Акцент6 3" xfId="280"/>
    <cellStyle name="60% - Акцент6 4" xfId="281"/>
    <cellStyle name="60% - Акцент6 5" xfId="282"/>
    <cellStyle name="60% - Акцент6 6" xfId="283"/>
    <cellStyle name="60% - Акцент6 7" xfId="284"/>
    <cellStyle name="60% - Акцент6 8" xfId="285"/>
    <cellStyle name="60% - Акцент6 9" xfId="286"/>
    <cellStyle name="Accent1" xfId="287"/>
    <cellStyle name="Accent1 - 20%" xfId="288"/>
    <cellStyle name="Accent1 - 40%" xfId="289"/>
    <cellStyle name="Accent1 - 60%" xfId="290"/>
    <cellStyle name="Accent1 2" xfId="291"/>
    <cellStyle name="Accent1 3" xfId="292"/>
    <cellStyle name="Accent1_Критерии RAB" xfId="293"/>
    <cellStyle name="Accent2" xfId="294"/>
    <cellStyle name="Accent2 - 20%" xfId="295"/>
    <cellStyle name="Accent2 - 40%" xfId="296"/>
    <cellStyle name="Accent2 - 60%" xfId="297"/>
    <cellStyle name="Accent2 2" xfId="298"/>
    <cellStyle name="Accent2 3" xfId="299"/>
    <cellStyle name="Accent2_Критерии RAB" xfId="300"/>
    <cellStyle name="Accent3" xfId="301"/>
    <cellStyle name="Accent3 - 20%" xfId="302"/>
    <cellStyle name="Accent3 - 40%" xfId="303"/>
    <cellStyle name="Accent3 - 60%" xfId="304"/>
    <cellStyle name="Accent3 2" xfId="305"/>
    <cellStyle name="Accent3 3" xfId="306"/>
    <cellStyle name="Accent3_Критерии RAB" xfId="307"/>
    <cellStyle name="Accent4" xfId="308"/>
    <cellStyle name="Accent4 - 20%" xfId="309"/>
    <cellStyle name="Accent4 - 40%" xfId="310"/>
    <cellStyle name="Accent4 - 60%" xfId="311"/>
    <cellStyle name="Accent4 2" xfId="312"/>
    <cellStyle name="Accent4 3" xfId="313"/>
    <cellStyle name="Accent4_Критерии RAB" xfId="314"/>
    <cellStyle name="Accent5" xfId="315"/>
    <cellStyle name="Accent5 - 20%" xfId="316"/>
    <cellStyle name="Accent5 - 40%" xfId="317"/>
    <cellStyle name="Accent5 - 60%" xfId="318"/>
    <cellStyle name="Accent5 2" xfId="319"/>
    <cellStyle name="Accent5 3" xfId="320"/>
    <cellStyle name="Accent5_Критерии RAB" xfId="321"/>
    <cellStyle name="Accent6" xfId="322"/>
    <cellStyle name="Accent6 - 20%" xfId="323"/>
    <cellStyle name="Accent6 - 40%" xfId="324"/>
    <cellStyle name="Accent6 - 60%" xfId="325"/>
    <cellStyle name="Accent6 2" xfId="326"/>
    <cellStyle name="Accent6 3" xfId="327"/>
    <cellStyle name="Accent6_Критерии RAB" xfId="328"/>
    <cellStyle name="account" xfId="329"/>
    <cellStyle name="Accounting" xfId="330"/>
    <cellStyle name="Ăčďĺđńńűëęŕ" xfId="331"/>
    <cellStyle name="Ăčďĺđńńűëęŕ 2" xfId="332"/>
    <cellStyle name="Áĺççŕůčňíűé" xfId="333"/>
    <cellStyle name="Äĺíĺćíűé [0]_(ňŕá 3č)" xfId="334"/>
    <cellStyle name="Äĺíĺćíűé_(ňŕá 3č)" xfId="335"/>
    <cellStyle name="Anna" xfId="336"/>
    <cellStyle name="AP_AR_UPS" xfId="337"/>
    <cellStyle name="BackGround_General" xfId="338"/>
    <cellStyle name="Bad" xfId="339"/>
    <cellStyle name="Bad 2" xfId="340"/>
    <cellStyle name="blank" xfId="341"/>
    <cellStyle name="Blue_Calculation" xfId="342"/>
    <cellStyle name="Calculation" xfId="343"/>
    <cellStyle name="Calculation 2" xfId="344"/>
    <cellStyle name="Check" xfId="345"/>
    <cellStyle name="Check Cell" xfId="346"/>
    <cellStyle name="Check Cell 2" xfId="347"/>
    <cellStyle name="Comma [0]_laroux" xfId="348"/>
    <cellStyle name="Comma_laroux" xfId="349"/>
    <cellStyle name="Comma0" xfId="350"/>
    <cellStyle name="Çŕůčňíűé" xfId="351"/>
    <cellStyle name="Currency [0]" xfId="352"/>
    <cellStyle name="Currency [0] 2" xfId="353"/>
    <cellStyle name="Currency [0] 3" xfId="354"/>
    <cellStyle name="Currency [0] 4" xfId="355"/>
    <cellStyle name="Currency_laroux" xfId="356"/>
    <cellStyle name="Currency0" xfId="357"/>
    <cellStyle name="Currency2" xfId="358"/>
    <cellStyle name="Date" xfId="359"/>
    <cellStyle name="date 2" xfId="360"/>
    <cellStyle name="Dates" xfId="361"/>
    <cellStyle name="Dezimal [0]_Compiling Utility Macros" xfId="362"/>
    <cellStyle name="Dezimal_Compiling Utility Macros" xfId="363"/>
    <cellStyle name="E-mail" xfId="364"/>
    <cellStyle name="Emphasis 1" xfId="365"/>
    <cellStyle name="Emphasis 2" xfId="366"/>
    <cellStyle name="Emphasis 3" xfId="367"/>
    <cellStyle name="Euro" xfId="368"/>
    <cellStyle name="Excel Built-in Normal" xfId="369"/>
    <cellStyle name="Excel Built-in Normal 2" xfId="370"/>
    <cellStyle name="Explanatory Text" xfId="371"/>
    <cellStyle name="Fixed" xfId="372"/>
    <cellStyle name="Followed Hyperlink" xfId="373"/>
    <cellStyle name="Footnotes" xfId="374"/>
    <cellStyle name="General_Ledger" xfId="375"/>
    <cellStyle name="Good" xfId="376"/>
    <cellStyle name="Good 2" xfId="377"/>
    <cellStyle name="Heading" xfId="378"/>
    <cellStyle name="Heading 1" xfId="379"/>
    <cellStyle name="Heading 1 1" xfId="380"/>
    <cellStyle name="Heading 1 2" xfId="381"/>
    <cellStyle name="Heading 2" xfId="382"/>
    <cellStyle name="Heading 2 2" xfId="383"/>
    <cellStyle name="Heading 3" xfId="384"/>
    <cellStyle name="Heading 3 2" xfId="385"/>
    <cellStyle name="Heading 4" xfId="386"/>
    <cellStyle name="Heading 4 2" xfId="387"/>
    <cellStyle name="Heading2" xfId="388"/>
    <cellStyle name="Hidden" xfId="389"/>
    <cellStyle name="Hyperlink" xfId="390"/>
    <cellStyle name="Îáű÷íűé__FES" xfId="391"/>
    <cellStyle name="Îňęđűâŕâřŕ˙ń˙ ăčďĺđńńűëęŕ" xfId="392"/>
    <cellStyle name="Îňęđűâŕâřŕ˙ń˙ ăčďĺđńńűëęŕ 2" xfId="393"/>
    <cellStyle name="Input" xfId="394"/>
    <cellStyle name="Input 2" xfId="395"/>
    <cellStyle name="Inputs" xfId="396"/>
    <cellStyle name="Inputs (const)" xfId="397"/>
    <cellStyle name="Inputs Co" xfId="398"/>
    <cellStyle name="Just_Table" xfId="399"/>
    <cellStyle name="LeftTitle" xfId="400"/>
    <cellStyle name="Linked Cell" xfId="401"/>
    <cellStyle name="Linked Cell 2" xfId="402"/>
    <cellStyle name="Neutral" xfId="403"/>
    <cellStyle name="Neutral 2" xfId="404"/>
    <cellStyle name="No_Input" xfId="405"/>
    <cellStyle name="normal" xfId="406"/>
    <cellStyle name="Normal1" xfId="407"/>
    <cellStyle name="Normal2" xfId="408"/>
    <cellStyle name="Note" xfId="409"/>
    <cellStyle name="Note 2" xfId="410"/>
    <cellStyle name="Note 3" xfId="411"/>
    <cellStyle name="Note_Критерии RAB" xfId="412"/>
    <cellStyle name="Ôčíŕíńîâűé [0]_(ňŕá 3č)" xfId="413"/>
    <cellStyle name="Ôčíŕíńîâűé_(ňŕá 3č)" xfId="414"/>
    <cellStyle name="Output" xfId="415"/>
    <cellStyle name="Output 2" xfId="416"/>
    <cellStyle name="PageHeading" xfId="417"/>
    <cellStyle name="Percent1" xfId="418"/>
    <cellStyle name="Price_Body" xfId="419"/>
    <cellStyle name="QTitle" xfId="420"/>
    <cellStyle name="range" xfId="421"/>
    <cellStyle name="SAPBEXaggData" xfId="422"/>
    <cellStyle name="SAPBEXaggDataEmph" xfId="423"/>
    <cellStyle name="SAPBEXaggItem" xfId="424"/>
    <cellStyle name="SAPBEXaggItemX" xfId="425"/>
    <cellStyle name="SAPBEXchaText" xfId="426"/>
    <cellStyle name="SAPBEXchaText 2" xfId="427"/>
    <cellStyle name="SAPBEXchaText_Критерии RAB" xfId="428"/>
    <cellStyle name="SAPBEXexcBad7" xfId="429"/>
    <cellStyle name="SAPBEXexcBad8" xfId="430"/>
    <cellStyle name="SAPBEXexcBad9" xfId="431"/>
    <cellStyle name="SAPBEXexcCritical4" xfId="432"/>
    <cellStyle name="SAPBEXexcCritical5" xfId="433"/>
    <cellStyle name="SAPBEXexcCritical6" xfId="434"/>
    <cellStyle name="SAPBEXexcGood1" xfId="435"/>
    <cellStyle name="SAPBEXexcGood2" xfId="436"/>
    <cellStyle name="SAPBEXexcGood3" xfId="437"/>
    <cellStyle name="SAPBEXfilterDrill" xfId="438"/>
    <cellStyle name="SAPBEXfilterItem" xfId="439"/>
    <cellStyle name="SAPBEXfilterText" xfId="440"/>
    <cellStyle name="SAPBEXformats" xfId="441"/>
    <cellStyle name="SAPBEXformats 2" xfId="442"/>
    <cellStyle name="SAPBEXformats_Критерии RAB" xfId="443"/>
    <cellStyle name="SAPBEXheaderItem" xfId="444"/>
    <cellStyle name="SAPBEXheaderText" xfId="445"/>
    <cellStyle name="SAPBEXHLevel0" xfId="446"/>
    <cellStyle name="SAPBEXHLevel0 2" xfId="447"/>
    <cellStyle name="SAPBEXHLevel0_Критерии RAB" xfId="448"/>
    <cellStyle name="SAPBEXHLevel0X" xfId="449"/>
    <cellStyle name="SAPBEXHLevel0X 2" xfId="450"/>
    <cellStyle name="SAPBEXHLevel0X_Критерии RAB" xfId="451"/>
    <cellStyle name="SAPBEXHLevel1" xfId="452"/>
    <cellStyle name="SAPBEXHLevel1 2" xfId="453"/>
    <cellStyle name="SAPBEXHLevel1_Критерии RAB" xfId="454"/>
    <cellStyle name="SAPBEXHLevel1X" xfId="455"/>
    <cellStyle name="SAPBEXHLevel1X 2" xfId="456"/>
    <cellStyle name="SAPBEXHLevel1X_Критерии RAB" xfId="457"/>
    <cellStyle name="SAPBEXHLevel2" xfId="458"/>
    <cellStyle name="SAPBEXHLevel2 2" xfId="459"/>
    <cellStyle name="SAPBEXHLevel2_Критерии RAB" xfId="460"/>
    <cellStyle name="SAPBEXHLevel2X" xfId="461"/>
    <cellStyle name="SAPBEXHLevel2X 2" xfId="462"/>
    <cellStyle name="SAPBEXHLevel2X_Критерии RAB" xfId="463"/>
    <cellStyle name="SAPBEXHLevel3" xfId="464"/>
    <cellStyle name="SAPBEXHLevel3 2" xfId="465"/>
    <cellStyle name="SAPBEXHLevel3_Критерии RAB" xfId="466"/>
    <cellStyle name="SAPBEXHLevel3X" xfId="467"/>
    <cellStyle name="SAPBEXHLevel3X 2" xfId="468"/>
    <cellStyle name="SAPBEXHLevel3X_Критерии RAB" xfId="469"/>
    <cellStyle name="SAPBEXinputData" xfId="470"/>
    <cellStyle name="SAPBEXinputData 2" xfId="471"/>
    <cellStyle name="SAPBEXresData" xfId="472"/>
    <cellStyle name="SAPBEXresDataEmph" xfId="473"/>
    <cellStyle name="SAPBEXresItem" xfId="474"/>
    <cellStyle name="SAPBEXresItemX" xfId="475"/>
    <cellStyle name="SAPBEXstdData" xfId="476"/>
    <cellStyle name="SAPBEXstdDataEmph" xfId="477"/>
    <cellStyle name="SAPBEXstdItem" xfId="478"/>
    <cellStyle name="SAPBEXstdItem 2" xfId="479"/>
    <cellStyle name="SAPBEXstdItem_Критерии RAB" xfId="480"/>
    <cellStyle name="SAPBEXstdItemX" xfId="481"/>
    <cellStyle name="SAPBEXstdItemX 2" xfId="482"/>
    <cellStyle name="SAPBEXstdItemX_Критерии RAB" xfId="483"/>
    <cellStyle name="SAPBEXtitle" xfId="484"/>
    <cellStyle name="SAPBEXundefined" xfId="485"/>
    <cellStyle name="SEM-BPS-data" xfId="486"/>
    <cellStyle name="SEM-BPS-head" xfId="487"/>
    <cellStyle name="SEM-BPS-headdata" xfId="488"/>
    <cellStyle name="SEM-BPS-headkey" xfId="489"/>
    <cellStyle name="SEM-BPS-input-on" xfId="490"/>
    <cellStyle name="SEM-BPS-key" xfId="491"/>
    <cellStyle name="SEM-BPS-sub1" xfId="492"/>
    <cellStyle name="SEM-BPS-sub2" xfId="493"/>
    <cellStyle name="SEM-BPS-total" xfId="494"/>
    <cellStyle name="Sheet Title" xfId="495"/>
    <cellStyle name="Show_Sell" xfId="496"/>
    <cellStyle name="Standard_Anpassen der Amortisation" xfId="497"/>
    <cellStyle name="Table" xfId="498"/>
    <cellStyle name="Table Heading" xfId="499"/>
    <cellStyle name="Title" xfId="500"/>
    <cellStyle name="Total" xfId="501"/>
    <cellStyle name="Total 2" xfId="502"/>
    <cellStyle name="Total_Критерии RAB" xfId="503"/>
    <cellStyle name="Validation" xfId="504"/>
    <cellStyle name="Warning Text" xfId="505"/>
    <cellStyle name="Warning Text 2" xfId="506"/>
    <cellStyle name="white" xfId="507"/>
    <cellStyle name="Wдhrung [0]_Compiling Utility Macros" xfId="508"/>
    <cellStyle name="Wдhrung_Compiling Utility Macros" xfId="509"/>
    <cellStyle name="YelNumbersCurr" xfId="510"/>
    <cellStyle name="Акцент1" xfId="511" builtinId="29"/>
    <cellStyle name="Акцент1 10" xfId="512"/>
    <cellStyle name="Акцент1 11" xfId="513"/>
    <cellStyle name="Акцент1 2" xfId="514"/>
    <cellStyle name="Акцент1 3" xfId="515"/>
    <cellStyle name="Акцент1 4" xfId="516"/>
    <cellStyle name="Акцент1 5" xfId="517"/>
    <cellStyle name="Акцент1 6" xfId="518"/>
    <cellStyle name="Акцент1 7" xfId="519"/>
    <cellStyle name="Акцент1 8" xfId="520"/>
    <cellStyle name="Акцент1 9" xfId="521"/>
    <cellStyle name="Акцент2 10" xfId="522"/>
    <cellStyle name="Акцент2 11" xfId="523"/>
    <cellStyle name="Акцент2 2" xfId="524"/>
    <cellStyle name="Акцент2 3" xfId="525"/>
    <cellStyle name="Акцент2 4" xfId="526"/>
    <cellStyle name="Акцент2 5" xfId="527"/>
    <cellStyle name="Акцент2 6" xfId="528"/>
    <cellStyle name="Акцент2 7" xfId="529"/>
    <cellStyle name="Акцент2 8" xfId="530"/>
    <cellStyle name="Акцент2 9" xfId="531"/>
    <cellStyle name="Акцент3 10" xfId="532"/>
    <cellStyle name="Акцент3 11" xfId="533"/>
    <cellStyle name="Акцент3 2" xfId="534"/>
    <cellStyle name="Акцент3 3" xfId="535"/>
    <cellStyle name="Акцент3 4" xfId="536"/>
    <cellStyle name="Акцент3 5" xfId="537"/>
    <cellStyle name="Акцент3 6" xfId="538"/>
    <cellStyle name="Акцент3 7" xfId="539"/>
    <cellStyle name="Акцент3 8" xfId="540"/>
    <cellStyle name="Акцент3 9" xfId="541"/>
    <cellStyle name="Акцент4 10" xfId="542"/>
    <cellStyle name="Акцент4 11" xfId="543"/>
    <cellStyle name="Акцент4 2" xfId="544"/>
    <cellStyle name="Акцент4 3" xfId="545"/>
    <cellStyle name="Акцент4 4" xfId="546"/>
    <cellStyle name="Акцент4 5" xfId="547"/>
    <cellStyle name="Акцент4 6" xfId="548"/>
    <cellStyle name="Акцент4 7" xfId="549"/>
    <cellStyle name="Акцент4 8" xfId="550"/>
    <cellStyle name="Акцент4 9" xfId="551"/>
    <cellStyle name="Акцент5 10" xfId="552"/>
    <cellStyle name="Акцент5 11" xfId="553"/>
    <cellStyle name="Акцент5 2" xfId="554"/>
    <cellStyle name="Акцент5 3" xfId="555"/>
    <cellStyle name="Акцент5 4" xfId="556"/>
    <cellStyle name="Акцент5 5" xfId="557"/>
    <cellStyle name="Акцент5 6" xfId="558"/>
    <cellStyle name="Акцент5 7" xfId="559"/>
    <cellStyle name="Акцент5 8" xfId="560"/>
    <cellStyle name="Акцент5 9" xfId="561"/>
    <cellStyle name="Акцент6 10" xfId="562"/>
    <cellStyle name="Акцент6 11" xfId="563"/>
    <cellStyle name="Акцент6 2" xfId="564"/>
    <cellStyle name="Акцент6 3" xfId="565"/>
    <cellStyle name="Акцент6 4" xfId="566"/>
    <cellStyle name="Акцент6 5" xfId="567"/>
    <cellStyle name="Акцент6 6" xfId="568"/>
    <cellStyle name="Акцент6 7" xfId="569"/>
    <cellStyle name="Акцент6 8" xfId="570"/>
    <cellStyle name="Акцент6 9" xfId="571"/>
    <cellStyle name="Беззащитный" xfId="572"/>
    <cellStyle name="Ввод  10" xfId="573"/>
    <cellStyle name="Ввод  11" xfId="574"/>
    <cellStyle name="Ввод  2" xfId="575"/>
    <cellStyle name="Ввод  3" xfId="576"/>
    <cellStyle name="Ввод  4" xfId="577"/>
    <cellStyle name="Ввод  5" xfId="578"/>
    <cellStyle name="Ввод  6" xfId="579"/>
    <cellStyle name="Ввод  7" xfId="580"/>
    <cellStyle name="Ввод  8" xfId="581"/>
    <cellStyle name="Ввод  9" xfId="582"/>
    <cellStyle name="Внешняя сылка" xfId="583"/>
    <cellStyle name="Вывод 10" xfId="584"/>
    <cellStyle name="Вывод 11" xfId="585"/>
    <cellStyle name="Вывод 2" xfId="586"/>
    <cellStyle name="Вывод 3" xfId="587"/>
    <cellStyle name="Вывод 4" xfId="588"/>
    <cellStyle name="Вывод 5" xfId="589"/>
    <cellStyle name="Вывод 6" xfId="590"/>
    <cellStyle name="Вывод 7" xfId="591"/>
    <cellStyle name="Вывод 8" xfId="592"/>
    <cellStyle name="Вывод 9" xfId="593"/>
    <cellStyle name="Вычисление 10" xfId="594"/>
    <cellStyle name="Вычисление 11" xfId="595"/>
    <cellStyle name="Вычисление 2" xfId="596"/>
    <cellStyle name="Вычисление 3" xfId="597"/>
    <cellStyle name="Вычисление 4" xfId="598"/>
    <cellStyle name="Вычисление 5" xfId="599"/>
    <cellStyle name="Вычисление 6" xfId="600"/>
    <cellStyle name="Вычисление 7" xfId="601"/>
    <cellStyle name="Вычисление 8" xfId="602"/>
    <cellStyle name="Вычисление 9" xfId="603"/>
    <cellStyle name="Гиперссылка" xfId="604" builtinId="8"/>
    <cellStyle name="Гиперссылка 2" xfId="605"/>
    <cellStyle name="Гиперссылка 3" xfId="606"/>
    <cellStyle name="Денежный 2" xfId="607"/>
    <cellStyle name="Заголовок" xfId="608"/>
    <cellStyle name="Заголовок 1" xfId="609" builtinId="16"/>
    <cellStyle name="Заголовок 1 10" xfId="610"/>
    <cellStyle name="Заголовок 1 11" xfId="611"/>
    <cellStyle name="Заголовок 1 2" xfId="612"/>
    <cellStyle name="Заголовок 1 3" xfId="613"/>
    <cellStyle name="Заголовок 1 4" xfId="614"/>
    <cellStyle name="Заголовок 1 5" xfId="615"/>
    <cellStyle name="Заголовок 1 6" xfId="616"/>
    <cellStyle name="Заголовок 1 7" xfId="617"/>
    <cellStyle name="Заголовок 1 8" xfId="618"/>
    <cellStyle name="Заголовок 1 9" xfId="619"/>
    <cellStyle name="Заголовок 2" xfId="620" builtinId="17"/>
    <cellStyle name="Заголовок 2 10" xfId="621"/>
    <cellStyle name="Заголовок 2 11" xfId="622"/>
    <cellStyle name="Заголовок 2 2" xfId="623"/>
    <cellStyle name="Заголовок 2 3" xfId="624"/>
    <cellStyle name="Заголовок 2 4" xfId="625"/>
    <cellStyle name="Заголовок 2 5" xfId="626"/>
    <cellStyle name="Заголовок 2 6" xfId="627"/>
    <cellStyle name="Заголовок 2 7" xfId="628"/>
    <cellStyle name="Заголовок 2 8" xfId="629"/>
    <cellStyle name="Заголовок 2 9" xfId="630"/>
    <cellStyle name="Заголовок 3" xfId="631" builtinId="18"/>
    <cellStyle name="Заголовок 3 10" xfId="632"/>
    <cellStyle name="Заголовок 3 11" xfId="633"/>
    <cellStyle name="Заголовок 3 2" xfId="634"/>
    <cellStyle name="Заголовок 3 3" xfId="635"/>
    <cellStyle name="Заголовок 3 4" xfId="636"/>
    <cellStyle name="Заголовок 3 5" xfId="637"/>
    <cellStyle name="Заголовок 3 6" xfId="638"/>
    <cellStyle name="Заголовок 3 7" xfId="639"/>
    <cellStyle name="Заголовок 3 8" xfId="640"/>
    <cellStyle name="Заголовок 3 9" xfId="641"/>
    <cellStyle name="Заголовок 4 10" xfId="642"/>
    <cellStyle name="Заголовок 4 11" xfId="643"/>
    <cellStyle name="Заголовок 4 2" xfId="644"/>
    <cellStyle name="Заголовок 4 3" xfId="645"/>
    <cellStyle name="Заголовок 4 4" xfId="646"/>
    <cellStyle name="Заголовок 4 5" xfId="647"/>
    <cellStyle name="Заголовок 4 6" xfId="648"/>
    <cellStyle name="Заголовок 4 7" xfId="649"/>
    <cellStyle name="Заголовок 4 8" xfId="650"/>
    <cellStyle name="Заголовок 4 9" xfId="651"/>
    <cellStyle name="ЗаголовокСтолбца" xfId="652"/>
    <cellStyle name="ЗаголовокСтолбца 2" xfId="653"/>
    <cellStyle name="Защитный" xfId="654"/>
    <cellStyle name="Значение" xfId="655"/>
    <cellStyle name="Значение 2" xfId="656"/>
    <cellStyle name="Значение 3" xfId="657"/>
    <cellStyle name="Зоголовок" xfId="658"/>
    <cellStyle name="зфпуруфвштп" xfId="659"/>
    <cellStyle name="Итог" xfId="661" builtinId="25"/>
    <cellStyle name="Итог 10" xfId="662"/>
    <cellStyle name="Итог 11" xfId="663"/>
    <cellStyle name="Итог 2" xfId="664"/>
    <cellStyle name="Итог 3" xfId="665"/>
    <cellStyle name="Итог 4" xfId="666"/>
    <cellStyle name="Итог 5" xfId="667"/>
    <cellStyle name="Итог 6" xfId="668"/>
    <cellStyle name="Итог 7" xfId="669"/>
    <cellStyle name="Итог 8" xfId="670"/>
    <cellStyle name="Итог 9" xfId="671"/>
    <cellStyle name="Итого" xfId="672"/>
    <cellStyle name="йешеду" xfId="660"/>
    <cellStyle name="Контрольная ячейка 10" xfId="673"/>
    <cellStyle name="Контрольная ячейка 11" xfId="674"/>
    <cellStyle name="Контрольная ячейка 2" xfId="675"/>
    <cellStyle name="Контрольная ячейка 3" xfId="676"/>
    <cellStyle name="Контрольная ячейка 4" xfId="677"/>
    <cellStyle name="Контрольная ячейка 5" xfId="678"/>
    <cellStyle name="Контрольная ячейка 6" xfId="679"/>
    <cellStyle name="Контрольная ячейка 7" xfId="680"/>
    <cellStyle name="Контрольная ячейка 8" xfId="681"/>
    <cellStyle name="Контрольная ячейка 9" xfId="682"/>
    <cellStyle name="Мои наименования показателей" xfId="687"/>
    <cellStyle name="Мои наименования показателей 2" xfId="688"/>
    <cellStyle name="Мои наименования показателей 3" xfId="689"/>
    <cellStyle name="Мои наименования показателей 4" xfId="690"/>
    <cellStyle name="Мои наименования показателей_ТМ передача 31.03.2011 (Морд)" xfId="691"/>
    <cellStyle name="Мой заголовок" xfId="683"/>
    <cellStyle name="Мой заголовок листа" xfId="684"/>
    <cellStyle name="Мой заголовок листа 2" xfId="685"/>
    <cellStyle name="Мой заголовок листа_Итоги тариф. кампании 2011_коррек" xfId="686"/>
    <cellStyle name="Название 10" xfId="692"/>
    <cellStyle name="Название 11" xfId="693"/>
    <cellStyle name="Название 2" xfId="694"/>
    <cellStyle name="Название 3" xfId="695"/>
    <cellStyle name="Название 4" xfId="696"/>
    <cellStyle name="Название 5" xfId="697"/>
    <cellStyle name="Название 6" xfId="698"/>
    <cellStyle name="Название 7" xfId="699"/>
    <cellStyle name="Название 8" xfId="700"/>
    <cellStyle name="Название 9" xfId="701"/>
    <cellStyle name="Нейтральный 10" xfId="702"/>
    <cellStyle name="Нейтральный 11" xfId="703"/>
    <cellStyle name="Нейтральный 2" xfId="704"/>
    <cellStyle name="Нейтральный 3" xfId="705"/>
    <cellStyle name="Нейтральный 4" xfId="706"/>
    <cellStyle name="Нейтральный 5" xfId="707"/>
    <cellStyle name="Нейтральный 6" xfId="708"/>
    <cellStyle name="Нейтральный 7" xfId="709"/>
    <cellStyle name="Нейтральный 8" xfId="710"/>
    <cellStyle name="Нейтральный 9" xfId="711"/>
    <cellStyle name="Обычный" xfId="0" builtinId="0"/>
    <cellStyle name="Обычный 10" xfId="712"/>
    <cellStyle name="Обычный 10 10" xfId="713"/>
    <cellStyle name="Обычный 11" xfId="714"/>
    <cellStyle name="Обычный 12" xfId="715"/>
    <cellStyle name="Обычный 12 2" xfId="716"/>
    <cellStyle name="Обычный 13" xfId="717"/>
    <cellStyle name="Обычный 2" xfId="718"/>
    <cellStyle name="Обычный 2 10" xfId="719"/>
    <cellStyle name="Обычный 2 10 2" xfId="720"/>
    <cellStyle name="Обычный 2 100" xfId="721"/>
    <cellStyle name="Обычный 2 101" xfId="722"/>
    <cellStyle name="Обычный 2 102" xfId="723"/>
    <cellStyle name="Обычный 2 103" xfId="724"/>
    <cellStyle name="Обычный 2 104" xfId="725"/>
    <cellStyle name="Обычный 2 105" xfId="726"/>
    <cellStyle name="Обычный 2 106" xfId="727"/>
    <cellStyle name="Обычный 2 107" xfId="728"/>
    <cellStyle name="Обычный 2 108" xfId="729"/>
    <cellStyle name="Обычный 2 109" xfId="730"/>
    <cellStyle name="Обычный 2 11" xfId="731"/>
    <cellStyle name="Обычный 2 110" xfId="732"/>
    <cellStyle name="Обычный 2 111" xfId="733"/>
    <cellStyle name="Обычный 2 112" xfId="734"/>
    <cellStyle name="Обычный 2 113" xfId="735"/>
    <cellStyle name="Обычный 2 114" xfId="736"/>
    <cellStyle name="Обычный 2 115" xfId="737"/>
    <cellStyle name="Обычный 2 116" xfId="738"/>
    <cellStyle name="Обычный 2 117" xfId="739"/>
    <cellStyle name="Обычный 2 118" xfId="740"/>
    <cellStyle name="Обычный 2 119" xfId="741"/>
    <cellStyle name="Обычный 2 12" xfId="742"/>
    <cellStyle name="Обычный 2 120" xfId="743"/>
    <cellStyle name="Обычный 2 121" xfId="744"/>
    <cellStyle name="Обычный 2 122" xfId="745"/>
    <cellStyle name="Обычный 2 123" xfId="746"/>
    <cellStyle name="Обычный 2 124" xfId="747"/>
    <cellStyle name="Обычный 2 125" xfId="748"/>
    <cellStyle name="Обычный 2 126" xfId="749"/>
    <cellStyle name="Обычный 2 127" xfId="750"/>
    <cellStyle name="Обычный 2 128" xfId="751"/>
    <cellStyle name="Обычный 2 129" xfId="752"/>
    <cellStyle name="Обычный 2 13" xfId="753"/>
    <cellStyle name="Обычный 2 130" xfId="754"/>
    <cellStyle name="Обычный 2 131" xfId="755"/>
    <cellStyle name="Обычный 2 132" xfId="756"/>
    <cellStyle name="Обычный 2 133" xfId="757"/>
    <cellStyle name="Обычный 2 134" xfId="758"/>
    <cellStyle name="Обычный 2 135" xfId="759"/>
    <cellStyle name="Обычный 2 136" xfId="760"/>
    <cellStyle name="Обычный 2 137" xfId="761"/>
    <cellStyle name="Обычный 2 138" xfId="762"/>
    <cellStyle name="Обычный 2 139" xfId="763"/>
    <cellStyle name="Обычный 2 14" xfId="764"/>
    <cellStyle name="Обычный 2 140" xfId="765"/>
    <cellStyle name="Обычный 2 141" xfId="766"/>
    <cellStyle name="Обычный 2 142" xfId="767"/>
    <cellStyle name="Обычный 2 15" xfId="768"/>
    <cellStyle name="Обычный 2 16" xfId="769"/>
    <cellStyle name="Обычный 2 17" xfId="770"/>
    <cellStyle name="Обычный 2 18" xfId="771"/>
    <cellStyle name="Обычный 2 19" xfId="772"/>
    <cellStyle name="Обычный 2 2" xfId="773"/>
    <cellStyle name="Обычный 2 2 10" xfId="774"/>
    <cellStyle name="Обычный 2 2 100" xfId="775"/>
    <cellStyle name="Обычный 2 2 101" xfId="776"/>
    <cellStyle name="Обычный 2 2 102" xfId="777"/>
    <cellStyle name="Обычный 2 2 103" xfId="778"/>
    <cellStyle name="Обычный 2 2 104" xfId="779"/>
    <cellStyle name="Обычный 2 2 105" xfId="780"/>
    <cellStyle name="Обычный 2 2 106" xfId="781"/>
    <cellStyle name="Обычный 2 2 107" xfId="782"/>
    <cellStyle name="Обычный 2 2 108" xfId="783"/>
    <cellStyle name="Обычный 2 2 109" xfId="784"/>
    <cellStyle name="Обычный 2 2 11" xfId="785"/>
    <cellStyle name="Обычный 2 2 110" xfId="786"/>
    <cellStyle name="Обычный 2 2 111" xfId="787"/>
    <cellStyle name="Обычный 2 2 112" xfId="788"/>
    <cellStyle name="Обычный 2 2 113" xfId="789"/>
    <cellStyle name="Обычный 2 2 114" xfId="790"/>
    <cellStyle name="Обычный 2 2 115" xfId="791"/>
    <cellStyle name="Обычный 2 2 116" xfId="792"/>
    <cellStyle name="Обычный 2 2 117" xfId="793"/>
    <cellStyle name="Обычный 2 2 118" xfId="794"/>
    <cellStyle name="Обычный 2 2 119" xfId="795"/>
    <cellStyle name="Обычный 2 2 12" xfId="796"/>
    <cellStyle name="Обычный 2 2 120" xfId="797"/>
    <cellStyle name="Обычный 2 2 121" xfId="798"/>
    <cellStyle name="Обычный 2 2 122" xfId="799"/>
    <cellStyle name="Обычный 2 2 123" xfId="800"/>
    <cellStyle name="Обычный 2 2 124" xfId="801"/>
    <cellStyle name="Обычный 2 2 125" xfId="802"/>
    <cellStyle name="Обычный 2 2 126" xfId="803"/>
    <cellStyle name="Обычный 2 2 127" xfId="804"/>
    <cellStyle name="Обычный 2 2 128" xfId="805"/>
    <cellStyle name="Обычный 2 2 129" xfId="806"/>
    <cellStyle name="Обычный 2 2 13" xfId="807"/>
    <cellStyle name="Обычный 2 2 130" xfId="808"/>
    <cellStyle name="Обычный 2 2 131" xfId="809"/>
    <cellStyle name="Обычный 2 2 132" xfId="810"/>
    <cellStyle name="Обычный 2 2 133" xfId="811"/>
    <cellStyle name="Обычный 2 2 134" xfId="812"/>
    <cellStyle name="Обычный 2 2 135" xfId="813"/>
    <cellStyle name="Обычный 2 2 136" xfId="814"/>
    <cellStyle name="Обычный 2 2 137" xfId="815"/>
    <cellStyle name="Обычный 2 2 138" xfId="816"/>
    <cellStyle name="Обычный 2 2 139" xfId="817"/>
    <cellStyle name="Обычный 2 2 14" xfId="818"/>
    <cellStyle name="Обычный 2 2 140" xfId="819"/>
    <cellStyle name="Обычный 2 2 141" xfId="820"/>
    <cellStyle name="Обычный 2 2 142" xfId="821"/>
    <cellStyle name="Обычный 2 2 15" xfId="822"/>
    <cellStyle name="Обычный 2 2 16" xfId="823"/>
    <cellStyle name="Обычный 2 2 17" xfId="824"/>
    <cellStyle name="Обычный 2 2 18" xfId="825"/>
    <cellStyle name="Обычный 2 2 19" xfId="826"/>
    <cellStyle name="Обычный 2 2 2" xfId="827"/>
    <cellStyle name="Обычный 2 2 2 2" xfId="828"/>
    <cellStyle name="Обычный 2 2 20" xfId="829"/>
    <cellStyle name="Обычный 2 2 21" xfId="830"/>
    <cellStyle name="Обычный 2 2 22" xfId="831"/>
    <cellStyle name="Обычный 2 2 23" xfId="832"/>
    <cellStyle name="Обычный 2 2 24" xfId="833"/>
    <cellStyle name="Обычный 2 2 25" xfId="834"/>
    <cellStyle name="Обычный 2 2 26" xfId="835"/>
    <cellStyle name="Обычный 2 2 27" xfId="836"/>
    <cellStyle name="Обычный 2 2 28" xfId="837"/>
    <cellStyle name="Обычный 2 2 29" xfId="838"/>
    <cellStyle name="Обычный 2 2 3" xfId="839"/>
    <cellStyle name="Обычный 2 2 3 2" xfId="840"/>
    <cellStyle name="Обычный 2 2 3 3" xfId="841"/>
    <cellStyle name="Обычный 2 2 30" xfId="842"/>
    <cellStyle name="Обычный 2 2 31" xfId="843"/>
    <cellStyle name="Обычный 2 2 32" xfId="844"/>
    <cellStyle name="Обычный 2 2 33" xfId="845"/>
    <cellStyle name="Обычный 2 2 34" xfId="846"/>
    <cellStyle name="Обычный 2 2 35" xfId="847"/>
    <cellStyle name="Обычный 2 2 36" xfId="848"/>
    <cellStyle name="Обычный 2 2 37" xfId="849"/>
    <cellStyle name="Обычный 2 2 38" xfId="850"/>
    <cellStyle name="Обычный 2 2 39" xfId="851"/>
    <cellStyle name="Обычный 2 2 4" xfId="852"/>
    <cellStyle name="Обычный 2 2 40" xfId="853"/>
    <cellStyle name="Обычный 2 2 41" xfId="854"/>
    <cellStyle name="Обычный 2 2 42" xfId="855"/>
    <cellStyle name="Обычный 2 2 43" xfId="856"/>
    <cellStyle name="Обычный 2 2 44" xfId="857"/>
    <cellStyle name="Обычный 2 2 45" xfId="858"/>
    <cellStyle name="Обычный 2 2 46" xfId="859"/>
    <cellStyle name="Обычный 2 2 47" xfId="860"/>
    <cellStyle name="Обычный 2 2 48" xfId="861"/>
    <cellStyle name="Обычный 2 2 49" xfId="862"/>
    <cellStyle name="Обычный 2 2 5" xfId="863"/>
    <cellStyle name="Обычный 2 2 50" xfId="864"/>
    <cellStyle name="Обычный 2 2 51" xfId="865"/>
    <cellStyle name="Обычный 2 2 52" xfId="866"/>
    <cellStyle name="Обычный 2 2 53" xfId="867"/>
    <cellStyle name="Обычный 2 2 54" xfId="868"/>
    <cellStyle name="Обычный 2 2 55" xfId="869"/>
    <cellStyle name="Обычный 2 2 56" xfId="870"/>
    <cellStyle name="Обычный 2 2 57" xfId="871"/>
    <cellStyle name="Обычный 2 2 58" xfId="872"/>
    <cellStyle name="Обычный 2 2 59" xfId="873"/>
    <cellStyle name="Обычный 2 2 6" xfId="874"/>
    <cellStyle name="Обычный 2 2 60" xfId="875"/>
    <cellStyle name="Обычный 2 2 61" xfId="876"/>
    <cellStyle name="Обычный 2 2 62" xfId="877"/>
    <cellStyle name="Обычный 2 2 63" xfId="878"/>
    <cellStyle name="Обычный 2 2 64" xfId="879"/>
    <cellStyle name="Обычный 2 2 65" xfId="880"/>
    <cellStyle name="Обычный 2 2 66" xfId="881"/>
    <cellStyle name="Обычный 2 2 67" xfId="882"/>
    <cellStyle name="Обычный 2 2 68" xfId="883"/>
    <cellStyle name="Обычный 2 2 69" xfId="884"/>
    <cellStyle name="Обычный 2 2 7" xfId="885"/>
    <cellStyle name="Обычный 2 2 70" xfId="886"/>
    <cellStyle name="Обычный 2 2 71" xfId="887"/>
    <cellStyle name="Обычный 2 2 72" xfId="888"/>
    <cellStyle name="Обычный 2 2 73" xfId="889"/>
    <cellStyle name="Обычный 2 2 74" xfId="890"/>
    <cellStyle name="Обычный 2 2 75" xfId="891"/>
    <cellStyle name="Обычный 2 2 76" xfId="892"/>
    <cellStyle name="Обычный 2 2 77" xfId="893"/>
    <cellStyle name="Обычный 2 2 78" xfId="894"/>
    <cellStyle name="Обычный 2 2 79" xfId="895"/>
    <cellStyle name="Обычный 2 2 8" xfId="896"/>
    <cellStyle name="Обычный 2 2 80" xfId="897"/>
    <cellStyle name="Обычный 2 2 81" xfId="898"/>
    <cellStyle name="Обычный 2 2 82" xfId="899"/>
    <cellStyle name="Обычный 2 2 83" xfId="900"/>
    <cellStyle name="Обычный 2 2 84" xfId="901"/>
    <cellStyle name="Обычный 2 2 85" xfId="902"/>
    <cellStyle name="Обычный 2 2 86" xfId="903"/>
    <cellStyle name="Обычный 2 2 87" xfId="904"/>
    <cellStyle name="Обычный 2 2 88" xfId="905"/>
    <cellStyle name="Обычный 2 2 89" xfId="906"/>
    <cellStyle name="Обычный 2 2 9" xfId="907"/>
    <cellStyle name="Обычный 2 2 90" xfId="908"/>
    <cellStyle name="Обычный 2 2 91" xfId="909"/>
    <cellStyle name="Обычный 2 2 92" xfId="910"/>
    <cellStyle name="Обычный 2 2 93" xfId="911"/>
    <cellStyle name="Обычный 2 2 94" xfId="912"/>
    <cellStyle name="Обычный 2 2 95" xfId="913"/>
    <cellStyle name="Обычный 2 2 96" xfId="914"/>
    <cellStyle name="Обычный 2 2 97" xfId="915"/>
    <cellStyle name="Обычный 2 2 98" xfId="916"/>
    <cellStyle name="Обычный 2 2 99" xfId="917"/>
    <cellStyle name="Обычный 2 2_Баланс2012_15.06.11" xfId="918"/>
    <cellStyle name="Обычный 2 20" xfId="919"/>
    <cellStyle name="Обычный 2 21" xfId="920"/>
    <cellStyle name="Обычный 2 22" xfId="921"/>
    <cellStyle name="Обычный 2 23" xfId="922"/>
    <cellStyle name="Обычный 2 24" xfId="923"/>
    <cellStyle name="Обычный 2 25" xfId="924"/>
    <cellStyle name="Обычный 2 26" xfId="925"/>
    <cellStyle name="Обычный 2 27" xfId="926"/>
    <cellStyle name="Обычный 2 28" xfId="927"/>
    <cellStyle name="Обычный 2 29" xfId="928"/>
    <cellStyle name="Обычный 2 3" xfId="929"/>
    <cellStyle name="Обычный 2 3 2" xfId="930"/>
    <cellStyle name="Обычный 2 30" xfId="931"/>
    <cellStyle name="Обычный 2 31" xfId="932"/>
    <cellStyle name="Обычный 2 32" xfId="933"/>
    <cellStyle name="Обычный 2 33" xfId="934"/>
    <cellStyle name="Обычный 2 34" xfId="935"/>
    <cellStyle name="Обычный 2 35" xfId="936"/>
    <cellStyle name="Обычный 2 36" xfId="937"/>
    <cellStyle name="Обычный 2 37" xfId="938"/>
    <cellStyle name="Обычный 2 38" xfId="939"/>
    <cellStyle name="Обычный 2 39" xfId="940"/>
    <cellStyle name="Обычный 2 4" xfId="941"/>
    <cellStyle name="Обычный 2 4 2" xfId="942"/>
    <cellStyle name="Обычный 2 40" xfId="943"/>
    <cellStyle name="Обычный 2 41" xfId="944"/>
    <cellStyle name="Обычный 2 42" xfId="945"/>
    <cellStyle name="Обычный 2 43" xfId="946"/>
    <cellStyle name="Обычный 2 44" xfId="947"/>
    <cellStyle name="Обычный 2 45" xfId="948"/>
    <cellStyle name="Обычный 2 46" xfId="949"/>
    <cellStyle name="Обычный 2 47" xfId="950"/>
    <cellStyle name="Обычный 2 48" xfId="951"/>
    <cellStyle name="Обычный 2 49" xfId="952"/>
    <cellStyle name="Обычный 2 5" xfId="953"/>
    <cellStyle name="Обычный 2 50" xfId="954"/>
    <cellStyle name="Обычный 2 51" xfId="955"/>
    <cellStyle name="Обычный 2 52" xfId="956"/>
    <cellStyle name="Обычный 2 53" xfId="957"/>
    <cellStyle name="Обычный 2 54" xfId="958"/>
    <cellStyle name="Обычный 2 55" xfId="959"/>
    <cellStyle name="Обычный 2 56" xfId="960"/>
    <cellStyle name="Обычный 2 57" xfId="961"/>
    <cellStyle name="Обычный 2 58" xfId="962"/>
    <cellStyle name="Обычный 2 59" xfId="963"/>
    <cellStyle name="Обычный 2 6" xfId="964"/>
    <cellStyle name="Обычный 2 6 2" xfId="965"/>
    <cellStyle name="Обычный 2 60" xfId="966"/>
    <cellStyle name="Обычный 2 61" xfId="967"/>
    <cellStyle name="Обычный 2 62" xfId="968"/>
    <cellStyle name="Обычный 2 63" xfId="969"/>
    <cellStyle name="Обычный 2 64" xfId="970"/>
    <cellStyle name="Обычный 2 65" xfId="971"/>
    <cellStyle name="Обычный 2 66" xfId="972"/>
    <cellStyle name="Обычный 2 67" xfId="973"/>
    <cellStyle name="Обычный 2 68" xfId="974"/>
    <cellStyle name="Обычный 2 69" xfId="975"/>
    <cellStyle name="Обычный 2 7" xfId="976"/>
    <cellStyle name="Обычный 2 7 2" xfId="977"/>
    <cellStyle name="Обычный 2 70" xfId="978"/>
    <cellStyle name="Обычный 2 71" xfId="979"/>
    <cellStyle name="Обычный 2 72" xfId="980"/>
    <cellStyle name="Обычный 2 73" xfId="981"/>
    <cellStyle name="Обычный 2 74" xfId="982"/>
    <cellStyle name="Обычный 2 75" xfId="983"/>
    <cellStyle name="Обычный 2 76" xfId="984"/>
    <cellStyle name="Обычный 2 77" xfId="985"/>
    <cellStyle name="Обычный 2 78" xfId="986"/>
    <cellStyle name="Обычный 2 79" xfId="987"/>
    <cellStyle name="Обычный 2 8" xfId="988"/>
    <cellStyle name="Обычный 2 8 2" xfId="989"/>
    <cellStyle name="Обычный 2 80" xfId="990"/>
    <cellStyle name="Обычный 2 81" xfId="991"/>
    <cellStyle name="Обычный 2 82" xfId="992"/>
    <cellStyle name="Обычный 2 83" xfId="993"/>
    <cellStyle name="Обычный 2 84" xfId="994"/>
    <cellStyle name="Обычный 2 85" xfId="995"/>
    <cellStyle name="Обычный 2 86" xfId="996"/>
    <cellStyle name="Обычный 2 87" xfId="997"/>
    <cellStyle name="Обычный 2 88" xfId="998"/>
    <cellStyle name="Обычный 2 89" xfId="999"/>
    <cellStyle name="Обычный 2 9" xfId="1000"/>
    <cellStyle name="Обычный 2 9 2" xfId="1001"/>
    <cellStyle name="Обычный 2 90" xfId="1002"/>
    <cellStyle name="Обычный 2 91" xfId="1003"/>
    <cellStyle name="Обычный 2 92" xfId="1004"/>
    <cellStyle name="Обычный 2 93" xfId="1005"/>
    <cellStyle name="Обычный 2 94" xfId="1006"/>
    <cellStyle name="Обычный 2 95" xfId="1007"/>
    <cellStyle name="Обычный 2 96" xfId="1008"/>
    <cellStyle name="Обычный 2 97" xfId="1009"/>
    <cellStyle name="Обычный 2 98" xfId="1010"/>
    <cellStyle name="Обычный 2 99" xfId="1011"/>
    <cellStyle name="Обычный 2_AP RAB 36" xfId="1012"/>
    <cellStyle name="Обычный 3" xfId="1013"/>
    <cellStyle name="Обычный 3 10" xfId="1014"/>
    <cellStyle name="Обычный 3 10 10" xfId="1015"/>
    <cellStyle name="Обычный 3 10 11" xfId="1016"/>
    <cellStyle name="Обычный 3 10 12" xfId="1017"/>
    <cellStyle name="Обычный 3 10 13" xfId="1018"/>
    <cellStyle name="Обычный 3 10 14" xfId="1019"/>
    <cellStyle name="Обычный 3 10 15" xfId="1020"/>
    <cellStyle name="Обычный 3 10 16" xfId="1021"/>
    <cellStyle name="Обычный 3 10 2" xfId="1022"/>
    <cellStyle name="Обычный 3 10 3" xfId="1023"/>
    <cellStyle name="Обычный 3 10 4" xfId="1024"/>
    <cellStyle name="Обычный 3 10 5" xfId="1025"/>
    <cellStyle name="Обычный 3 10 6" xfId="1026"/>
    <cellStyle name="Обычный 3 10 7" xfId="1027"/>
    <cellStyle name="Обычный 3 10 8" xfId="1028"/>
    <cellStyle name="Обычный 3 10 9" xfId="1029"/>
    <cellStyle name="Обычный 3 11" xfId="1030"/>
    <cellStyle name="Обычный 3 11 10" xfId="1031"/>
    <cellStyle name="Обычный 3 11 11" xfId="1032"/>
    <cellStyle name="Обычный 3 11 12" xfId="1033"/>
    <cellStyle name="Обычный 3 11 13" xfId="1034"/>
    <cellStyle name="Обычный 3 11 14" xfId="1035"/>
    <cellStyle name="Обычный 3 11 15" xfId="1036"/>
    <cellStyle name="Обычный 3 11 16" xfId="1037"/>
    <cellStyle name="Обычный 3 11 2" xfId="1038"/>
    <cellStyle name="Обычный 3 11 3" xfId="1039"/>
    <cellStyle name="Обычный 3 11 4" xfId="1040"/>
    <cellStyle name="Обычный 3 11 5" xfId="1041"/>
    <cellStyle name="Обычный 3 11 6" xfId="1042"/>
    <cellStyle name="Обычный 3 11 7" xfId="1043"/>
    <cellStyle name="Обычный 3 11 8" xfId="1044"/>
    <cellStyle name="Обычный 3 11 9" xfId="1045"/>
    <cellStyle name="Обычный 3 12" xfId="1046"/>
    <cellStyle name="Обычный 3 12 10" xfId="1047"/>
    <cellStyle name="Обычный 3 12 11" xfId="1048"/>
    <cellStyle name="Обычный 3 12 12" xfId="1049"/>
    <cellStyle name="Обычный 3 12 13" xfId="1050"/>
    <cellStyle name="Обычный 3 12 14" xfId="1051"/>
    <cellStyle name="Обычный 3 12 15" xfId="1052"/>
    <cellStyle name="Обычный 3 12 16" xfId="1053"/>
    <cellStyle name="Обычный 3 12 2" xfId="1054"/>
    <cellStyle name="Обычный 3 12 3" xfId="1055"/>
    <cellStyle name="Обычный 3 12 4" xfId="1056"/>
    <cellStyle name="Обычный 3 12 5" xfId="1057"/>
    <cellStyle name="Обычный 3 12 6" xfId="1058"/>
    <cellStyle name="Обычный 3 12 7" xfId="1059"/>
    <cellStyle name="Обычный 3 12 8" xfId="1060"/>
    <cellStyle name="Обычный 3 12 9" xfId="1061"/>
    <cellStyle name="Обычный 3 13" xfId="1062"/>
    <cellStyle name="Обычный 3 13 10" xfId="1063"/>
    <cellStyle name="Обычный 3 13 11" xfId="1064"/>
    <cellStyle name="Обычный 3 13 12" xfId="1065"/>
    <cellStyle name="Обычный 3 13 13" xfId="1066"/>
    <cellStyle name="Обычный 3 13 14" xfId="1067"/>
    <cellStyle name="Обычный 3 13 15" xfId="1068"/>
    <cellStyle name="Обычный 3 13 16" xfId="1069"/>
    <cellStyle name="Обычный 3 13 2" xfId="1070"/>
    <cellStyle name="Обычный 3 13 3" xfId="1071"/>
    <cellStyle name="Обычный 3 13 4" xfId="1072"/>
    <cellStyle name="Обычный 3 13 5" xfId="1073"/>
    <cellStyle name="Обычный 3 13 6" xfId="1074"/>
    <cellStyle name="Обычный 3 13 7" xfId="1075"/>
    <cellStyle name="Обычный 3 13 8" xfId="1076"/>
    <cellStyle name="Обычный 3 13 9" xfId="1077"/>
    <cellStyle name="Обычный 3 14" xfId="1078"/>
    <cellStyle name="Обычный 3 14 10" xfId="1079"/>
    <cellStyle name="Обычный 3 14 11" xfId="1080"/>
    <cellStyle name="Обычный 3 14 12" xfId="1081"/>
    <cellStyle name="Обычный 3 14 13" xfId="1082"/>
    <cellStyle name="Обычный 3 14 14" xfId="1083"/>
    <cellStyle name="Обычный 3 14 15" xfId="1084"/>
    <cellStyle name="Обычный 3 14 16" xfId="1085"/>
    <cellStyle name="Обычный 3 14 2" xfId="1086"/>
    <cellStyle name="Обычный 3 14 3" xfId="1087"/>
    <cellStyle name="Обычный 3 14 4" xfId="1088"/>
    <cellStyle name="Обычный 3 14 5" xfId="1089"/>
    <cellStyle name="Обычный 3 14 6" xfId="1090"/>
    <cellStyle name="Обычный 3 14 7" xfId="1091"/>
    <cellStyle name="Обычный 3 14 8" xfId="1092"/>
    <cellStyle name="Обычный 3 14 9" xfId="1093"/>
    <cellStyle name="Обычный 3 15" xfId="1094"/>
    <cellStyle name="Обычный 3 16" xfId="1095"/>
    <cellStyle name="Обычный 3 17" xfId="1096"/>
    <cellStyle name="Обычный 3 18" xfId="1097"/>
    <cellStyle name="Обычный 3 19" xfId="1098"/>
    <cellStyle name="Обычный 3 2" xfId="1099"/>
    <cellStyle name="Обычный 3 2 2" xfId="1100"/>
    <cellStyle name="Обычный 3 20" xfId="1101"/>
    <cellStyle name="Обычный 3 21" xfId="1102"/>
    <cellStyle name="Обычный 3 22" xfId="1103"/>
    <cellStyle name="Обычный 3 23" xfId="1104"/>
    <cellStyle name="Обычный 3 24" xfId="1105"/>
    <cellStyle name="Обычный 3 25" xfId="1106"/>
    <cellStyle name="Обычный 3 26" xfId="1107"/>
    <cellStyle name="Обычный 3 27" xfId="1108"/>
    <cellStyle name="Обычный 3 28" xfId="1109"/>
    <cellStyle name="Обычный 3 29" xfId="1110"/>
    <cellStyle name="Обычный 3 3" xfId="1111"/>
    <cellStyle name="Обычный 3 3 10" xfId="1112"/>
    <cellStyle name="Обычный 3 3 10 10" xfId="1113"/>
    <cellStyle name="Обычный 3 3 10 11" xfId="1114"/>
    <cellStyle name="Обычный 3 3 10 12" xfId="1115"/>
    <cellStyle name="Обычный 3 3 10 13" xfId="1116"/>
    <cellStyle name="Обычный 3 3 10 14" xfId="1117"/>
    <cellStyle name="Обычный 3 3 10 15" xfId="1118"/>
    <cellStyle name="Обычный 3 3 10 16" xfId="1119"/>
    <cellStyle name="Обычный 3 3 10 2" xfId="1120"/>
    <cellStyle name="Обычный 3 3 10 3" xfId="1121"/>
    <cellStyle name="Обычный 3 3 10 4" xfId="1122"/>
    <cellStyle name="Обычный 3 3 10 5" xfId="1123"/>
    <cellStyle name="Обычный 3 3 10 6" xfId="1124"/>
    <cellStyle name="Обычный 3 3 10 7" xfId="1125"/>
    <cellStyle name="Обычный 3 3 10 8" xfId="1126"/>
    <cellStyle name="Обычный 3 3 10 9" xfId="1127"/>
    <cellStyle name="Обычный 3 3 11" xfId="1128"/>
    <cellStyle name="Обычный 3 3 11 10" xfId="1129"/>
    <cellStyle name="Обычный 3 3 11 11" xfId="1130"/>
    <cellStyle name="Обычный 3 3 11 12" xfId="1131"/>
    <cellStyle name="Обычный 3 3 11 13" xfId="1132"/>
    <cellStyle name="Обычный 3 3 11 14" xfId="1133"/>
    <cellStyle name="Обычный 3 3 11 15" xfId="1134"/>
    <cellStyle name="Обычный 3 3 11 16" xfId="1135"/>
    <cellStyle name="Обычный 3 3 11 2" xfId="1136"/>
    <cellStyle name="Обычный 3 3 11 3" xfId="1137"/>
    <cellStyle name="Обычный 3 3 11 4" xfId="1138"/>
    <cellStyle name="Обычный 3 3 11 5" xfId="1139"/>
    <cellStyle name="Обычный 3 3 11 6" xfId="1140"/>
    <cellStyle name="Обычный 3 3 11 7" xfId="1141"/>
    <cellStyle name="Обычный 3 3 11 8" xfId="1142"/>
    <cellStyle name="Обычный 3 3 11 9" xfId="1143"/>
    <cellStyle name="Обычный 3 3 12" xfId="1144"/>
    <cellStyle name="Обычный 3 3 13" xfId="1145"/>
    <cellStyle name="Обычный 3 3 14" xfId="1146"/>
    <cellStyle name="Обычный 3 3 15" xfId="1147"/>
    <cellStyle name="Обычный 3 3 16" xfId="1148"/>
    <cellStyle name="Обычный 3 3 17" xfId="1149"/>
    <cellStyle name="Обычный 3 3 18" xfId="1150"/>
    <cellStyle name="Обычный 3 3 19" xfId="1151"/>
    <cellStyle name="Обычный 3 3 2" xfId="1152"/>
    <cellStyle name="Обычный 3 3 2 10" xfId="1153"/>
    <cellStyle name="Обычный 3 3 2 11" xfId="1154"/>
    <cellStyle name="Обычный 3 3 2 12" xfId="1155"/>
    <cellStyle name="Обычный 3 3 2 13" xfId="1156"/>
    <cellStyle name="Обычный 3 3 2 14" xfId="1157"/>
    <cellStyle name="Обычный 3 3 2 15" xfId="1158"/>
    <cellStyle name="Обычный 3 3 2 16" xfId="1159"/>
    <cellStyle name="Обычный 3 3 2 17" xfId="1160"/>
    <cellStyle name="Обычный 3 3 2 18" xfId="1161"/>
    <cellStyle name="Обычный 3 3 2 19" xfId="1162"/>
    <cellStyle name="Обычный 3 3 2 2" xfId="1163"/>
    <cellStyle name="Обычный 3 3 2 2 10" xfId="1164"/>
    <cellStyle name="Обычный 3 3 2 2 11" xfId="1165"/>
    <cellStyle name="Обычный 3 3 2 2 12" xfId="1166"/>
    <cellStyle name="Обычный 3 3 2 2 13" xfId="1167"/>
    <cellStyle name="Обычный 3 3 2 2 14" xfId="1168"/>
    <cellStyle name="Обычный 3 3 2 2 15" xfId="1169"/>
    <cellStyle name="Обычный 3 3 2 2 16" xfId="1170"/>
    <cellStyle name="Обычный 3 3 2 2 2" xfId="1171"/>
    <cellStyle name="Обычный 3 3 2 2 3" xfId="1172"/>
    <cellStyle name="Обычный 3 3 2 2 4" xfId="1173"/>
    <cellStyle name="Обычный 3 3 2 2 5" xfId="1174"/>
    <cellStyle name="Обычный 3 3 2 2 6" xfId="1175"/>
    <cellStyle name="Обычный 3 3 2 2 7" xfId="1176"/>
    <cellStyle name="Обычный 3 3 2 2 8" xfId="1177"/>
    <cellStyle name="Обычный 3 3 2 2 9" xfId="1178"/>
    <cellStyle name="Обычный 3 3 2 20" xfId="1179"/>
    <cellStyle name="Обычный 3 3 2 21" xfId="1180"/>
    <cellStyle name="Обычный 3 3 2 22" xfId="1181"/>
    <cellStyle name="Обычный 3 3 2 23" xfId="1182"/>
    <cellStyle name="Обычный 3 3 2 24" xfId="1183"/>
    <cellStyle name="Обычный 3 3 2 25" xfId="1184"/>
    <cellStyle name="Обычный 3 3 2 3" xfId="1185"/>
    <cellStyle name="Обычный 3 3 2 3 10" xfId="1186"/>
    <cellStyle name="Обычный 3 3 2 3 11" xfId="1187"/>
    <cellStyle name="Обычный 3 3 2 3 12" xfId="1188"/>
    <cellStyle name="Обычный 3 3 2 3 13" xfId="1189"/>
    <cellStyle name="Обычный 3 3 2 3 14" xfId="1190"/>
    <cellStyle name="Обычный 3 3 2 3 15" xfId="1191"/>
    <cellStyle name="Обычный 3 3 2 3 16" xfId="1192"/>
    <cellStyle name="Обычный 3 3 2 3 2" xfId="1193"/>
    <cellStyle name="Обычный 3 3 2 3 3" xfId="1194"/>
    <cellStyle name="Обычный 3 3 2 3 4" xfId="1195"/>
    <cellStyle name="Обычный 3 3 2 3 5" xfId="1196"/>
    <cellStyle name="Обычный 3 3 2 3 6" xfId="1197"/>
    <cellStyle name="Обычный 3 3 2 3 7" xfId="1198"/>
    <cellStyle name="Обычный 3 3 2 3 8" xfId="1199"/>
    <cellStyle name="Обычный 3 3 2 3 9" xfId="1200"/>
    <cellStyle name="Обычный 3 3 2 4" xfId="1201"/>
    <cellStyle name="Обычный 3 3 2 4 10" xfId="1202"/>
    <cellStyle name="Обычный 3 3 2 4 11" xfId="1203"/>
    <cellStyle name="Обычный 3 3 2 4 12" xfId="1204"/>
    <cellStyle name="Обычный 3 3 2 4 13" xfId="1205"/>
    <cellStyle name="Обычный 3 3 2 4 14" xfId="1206"/>
    <cellStyle name="Обычный 3 3 2 4 15" xfId="1207"/>
    <cellStyle name="Обычный 3 3 2 4 16" xfId="1208"/>
    <cellStyle name="Обычный 3 3 2 4 2" xfId="1209"/>
    <cellStyle name="Обычный 3 3 2 4 3" xfId="1210"/>
    <cellStyle name="Обычный 3 3 2 4 4" xfId="1211"/>
    <cellStyle name="Обычный 3 3 2 4 5" xfId="1212"/>
    <cellStyle name="Обычный 3 3 2 4 6" xfId="1213"/>
    <cellStyle name="Обычный 3 3 2 4 7" xfId="1214"/>
    <cellStyle name="Обычный 3 3 2 4 8" xfId="1215"/>
    <cellStyle name="Обычный 3 3 2 4 9" xfId="1216"/>
    <cellStyle name="Обычный 3 3 2 5" xfId="1217"/>
    <cellStyle name="Обычный 3 3 2 5 10" xfId="1218"/>
    <cellStyle name="Обычный 3 3 2 5 11" xfId="1219"/>
    <cellStyle name="Обычный 3 3 2 5 12" xfId="1220"/>
    <cellStyle name="Обычный 3 3 2 5 13" xfId="1221"/>
    <cellStyle name="Обычный 3 3 2 5 14" xfId="1222"/>
    <cellStyle name="Обычный 3 3 2 5 15" xfId="1223"/>
    <cellStyle name="Обычный 3 3 2 5 16" xfId="1224"/>
    <cellStyle name="Обычный 3 3 2 5 2" xfId="1225"/>
    <cellStyle name="Обычный 3 3 2 5 3" xfId="1226"/>
    <cellStyle name="Обычный 3 3 2 5 4" xfId="1227"/>
    <cellStyle name="Обычный 3 3 2 5 5" xfId="1228"/>
    <cellStyle name="Обычный 3 3 2 5 6" xfId="1229"/>
    <cellStyle name="Обычный 3 3 2 5 7" xfId="1230"/>
    <cellStyle name="Обычный 3 3 2 5 8" xfId="1231"/>
    <cellStyle name="Обычный 3 3 2 5 9" xfId="1232"/>
    <cellStyle name="Обычный 3 3 2 6" xfId="1233"/>
    <cellStyle name="Обычный 3 3 2 6 10" xfId="1234"/>
    <cellStyle name="Обычный 3 3 2 6 11" xfId="1235"/>
    <cellStyle name="Обычный 3 3 2 6 12" xfId="1236"/>
    <cellStyle name="Обычный 3 3 2 6 13" xfId="1237"/>
    <cellStyle name="Обычный 3 3 2 6 14" xfId="1238"/>
    <cellStyle name="Обычный 3 3 2 6 15" xfId="1239"/>
    <cellStyle name="Обычный 3 3 2 6 16" xfId="1240"/>
    <cellStyle name="Обычный 3 3 2 6 2" xfId="1241"/>
    <cellStyle name="Обычный 3 3 2 6 3" xfId="1242"/>
    <cellStyle name="Обычный 3 3 2 6 4" xfId="1243"/>
    <cellStyle name="Обычный 3 3 2 6 5" xfId="1244"/>
    <cellStyle name="Обычный 3 3 2 6 6" xfId="1245"/>
    <cellStyle name="Обычный 3 3 2 6 7" xfId="1246"/>
    <cellStyle name="Обычный 3 3 2 6 8" xfId="1247"/>
    <cellStyle name="Обычный 3 3 2 6 9" xfId="1248"/>
    <cellStyle name="Обычный 3 3 2 7" xfId="1249"/>
    <cellStyle name="Обычный 3 3 2 7 10" xfId="1250"/>
    <cellStyle name="Обычный 3 3 2 7 11" xfId="1251"/>
    <cellStyle name="Обычный 3 3 2 7 12" xfId="1252"/>
    <cellStyle name="Обычный 3 3 2 7 13" xfId="1253"/>
    <cellStyle name="Обычный 3 3 2 7 14" xfId="1254"/>
    <cellStyle name="Обычный 3 3 2 7 15" xfId="1255"/>
    <cellStyle name="Обычный 3 3 2 7 16" xfId="1256"/>
    <cellStyle name="Обычный 3 3 2 7 2" xfId="1257"/>
    <cellStyle name="Обычный 3 3 2 7 3" xfId="1258"/>
    <cellStyle name="Обычный 3 3 2 7 4" xfId="1259"/>
    <cellStyle name="Обычный 3 3 2 7 5" xfId="1260"/>
    <cellStyle name="Обычный 3 3 2 7 6" xfId="1261"/>
    <cellStyle name="Обычный 3 3 2 7 7" xfId="1262"/>
    <cellStyle name="Обычный 3 3 2 7 8" xfId="1263"/>
    <cellStyle name="Обычный 3 3 2 7 9" xfId="1264"/>
    <cellStyle name="Обычный 3 3 2 8" xfId="1265"/>
    <cellStyle name="Обычный 3 3 2 8 10" xfId="1266"/>
    <cellStyle name="Обычный 3 3 2 8 11" xfId="1267"/>
    <cellStyle name="Обычный 3 3 2 8 12" xfId="1268"/>
    <cellStyle name="Обычный 3 3 2 8 13" xfId="1269"/>
    <cellStyle name="Обычный 3 3 2 8 14" xfId="1270"/>
    <cellStyle name="Обычный 3 3 2 8 15" xfId="1271"/>
    <cellStyle name="Обычный 3 3 2 8 16" xfId="1272"/>
    <cellStyle name="Обычный 3 3 2 8 2" xfId="1273"/>
    <cellStyle name="Обычный 3 3 2 8 3" xfId="1274"/>
    <cellStyle name="Обычный 3 3 2 8 4" xfId="1275"/>
    <cellStyle name="Обычный 3 3 2 8 5" xfId="1276"/>
    <cellStyle name="Обычный 3 3 2 8 6" xfId="1277"/>
    <cellStyle name="Обычный 3 3 2 8 7" xfId="1278"/>
    <cellStyle name="Обычный 3 3 2 8 8" xfId="1279"/>
    <cellStyle name="Обычный 3 3 2 8 9" xfId="1280"/>
    <cellStyle name="Обычный 3 3 2 9" xfId="1281"/>
    <cellStyle name="Обычный 3 3 20" xfId="1282"/>
    <cellStyle name="Обычный 3 3 21" xfId="1283"/>
    <cellStyle name="Обычный 3 3 22" xfId="1284"/>
    <cellStyle name="Обычный 3 3 23" xfId="1285"/>
    <cellStyle name="Обычный 3 3 24" xfId="1286"/>
    <cellStyle name="Обычный 3 3 25" xfId="1287"/>
    <cellStyle name="Обычный 3 3 26" xfId="1288"/>
    <cellStyle name="Обычный 3 3 27" xfId="1289"/>
    <cellStyle name="Обычный 3 3 28" xfId="1290"/>
    <cellStyle name="Обычный 3 3 29" xfId="1291"/>
    <cellStyle name="Обычный 3 3 3" xfId="1292"/>
    <cellStyle name="Обычный 3 3 3 10" xfId="1293"/>
    <cellStyle name="Обычный 3 3 3 11" xfId="1294"/>
    <cellStyle name="Обычный 3 3 3 12" xfId="1295"/>
    <cellStyle name="Обычный 3 3 3 13" xfId="1296"/>
    <cellStyle name="Обычный 3 3 3 14" xfId="1297"/>
    <cellStyle name="Обычный 3 3 3 15" xfId="1298"/>
    <cellStyle name="Обычный 3 3 3 16" xfId="1299"/>
    <cellStyle name="Обычный 3 3 3 17" xfId="1300"/>
    <cellStyle name="Обычный 3 3 3 18" xfId="1301"/>
    <cellStyle name="Обычный 3 3 3 19" xfId="1302"/>
    <cellStyle name="Обычный 3 3 3 2" xfId="1303"/>
    <cellStyle name="Обычный 3 3 3 2 10" xfId="1304"/>
    <cellStyle name="Обычный 3 3 3 2 11" xfId="1305"/>
    <cellStyle name="Обычный 3 3 3 2 12" xfId="1306"/>
    <cellStyle name="Обычный 3 3 3 2 13" xfId="1307"/>
    <cellStyle name="Обычный 3 3 3 2 14" xfId="1308"/>
    <cellStyle name="Обычный 3 3 3 2 15" xfId="1309"/>
    <cellStyle name="Обычный 3 3 3 2 16" xfId="1310"/>
    <cellStyle name="Обычный 3 3 3 2 2" xfId="1311"/>
    <cellStyle name="Обычный 3 3 3 2 3" xfId="1312"/>
    <cellStyle name="Обычный 3 3 3 2 4" xfId="1313"/>
    <cellStyle name="Обычный 3 3 3 2 5" xfId="1314"/>
    <cellStyle name="Обычный 3 3 3 2 6" xfId="1315"/>
    <cellStyle name="Обычный 3 3 3 2 7" xfId="1316"/>
    <cellStyle name="Обычный 3 3 3 2 8" xfId="1317"/>
    <cellStyle name="Обычный 3 3 3 2 9" xfId="1318"/>
    <cellStyle name="Обычный 3 3 3 20" xfId="1319"/>
    <cellStyle name="Обычный 3 3 3 21" xfId="1320"/>
    <cellStyle name="Обычный 3 3 3 22" xfId="1321"/>
    <cellStyle name="Обычный 3 3 3 23" xfId="1322"/>
    <cellStyle name="Обычный 3 3 3 24" xfId="1323"/>
    <cellStyle name="Обычный 3 3 3 25" xfId="1324"/>
    <cellStyle name="Обычный 3 3 3 3" xfId="1325"/>
    <cellStyle name="Обычный 3 3 3 3 10" xfId="1326"/>
    <cellStyle name="Обычный 3 3 3 3 11" xfId="1327"/>
    <cellStyle name="Обычный 3 3 3 3 12" xfId="1328"/>
    <cellStyle name="Обычный 3 3 3 3 13" xfId="1329"/>
    <cellStyle name="Обычный 3 3 3 3 14" xfId="1330"/>
    <cellStyle name="Обычный 3 3 3 3 15" xfId="1331"/>
    <cellStyle name="Обычный 3 3 3 3 16" xfId="1332"/>
    <cellStyle name="Обычный 3 3 3 3 2" xfId="1333"/>
    <cellStyle name="Обычный 3 3 3 3 3" xfId="1334"/>
    <cellStyle name="Обычный 3 3 3 3 4" xfId="1335"/>
    <cellStyle name="Обычный 3 3 3 3 5" xfId="1336"/>
    <cellStyle name="Обычный 3 3 3 3 6" xfId="1337"/>
    <cellStyle name="Обычный 3 3 3 3 7" xfId="1338"/>
    <cellStyle name="Обычный 3 3 3 3 8" xfId="1339"/>
    <cellStyle name="Обычный 3 3 3 3 9" xfId="1340"/>
    <cellStyle name="Обычный 3 3 3 4" xfId="1341"/>
    <cellStyle name="Обычный 3 3 3 4 10" xfId="1342"/>
    <cellStyle name="Обычный 3 3 3 4 11" xfId="1343"/>
    <cellStyle name="Обычный 3 3 3 4 12" xfId="1344"/>
    <cellStyle name="Обычный 3 3 3 4 13" xfId="1345"/>
    <cellStyle name="Обычный 3 3 3 4 14" xfId="1346"/>
    <cellStyle name="Обычный 3 3 3 4 15" xfId="1347"/>
    <cellStyle name="Обычный 3 3 3 4 16" xfId="1348"/>
    <cellStyle name="Обычный 3 3 3 4 2" xfId="1349"/>
    <cellStyle name="Обычный 3 3 3 4 3" xfId="1350"/>
    <cellStyle name="Обычный 3 3 3 4 4" xfId="1351"/>
    <cellStyle name="Обычный 3 3 3 4 5" xfId="1352"/>
    <cellStyle name="Обычный 3 3 3 4 6" xfId="1353"/>
    <cellStyle name="Обычный 3 3 3 4 7" xfId="1354"/>
    <cellStyle name="Обычный 3 3 3 4 8" xfId="1355"/>
    <cellStyle name="Обычный 3 3 3 4 9" xfId="1356"/>
    <cellStyle name="Обычный 3 3 3 5" xfId="1357"/>
    <cellStyle name="Обычный 3 3 3 5 10" xfId="1358"/>
    <cellStyle name="Обычный 3 3 3 5 11" xfId="1359"/>
    <cellStyle name="Обычный 3 3 3 5 12" xfId="1360"/>
    <cellStyle name="Обычный 3 3 3 5 13" xfId="1361"/>
    <cellStyle name="Обычный 3 3 3 5 14" xfId="1362"/>
    <cellStyle name="Обычный 3 3 3 5 15" xfId="1363"/>
    <cellStyle name="Обычный 3 3 3 5 16" xfId="1364"/>
    <cellStyle name="Обычный 3 3 3 5 2" xfId="1365"/>
    <cellStyle name="Обычный 3 3 3 5 3" xfId="1366"/>
    <cellStyle name="Обычный 3 3 3 5 4" xfId="1367"/>
    <cellStyle name="Обычный 3 3 3 5 5" xfId="1368"/>
    <cellStyle name="Обычный 3 3 3 5 6" xfId="1369"/>
    <cellStyle name="Обычный 3 3 3 5 7" xfId="1370"/>
    <cellStyle name="Обычный 3 3 3 5 8" xfId="1371"/>
    <cellStyle name="Обычный 3 3 3 5 9" xfId="1372"/>
    <cellStyle name="Обычный 3 3 3 6" xfId="1373"/>
    <cellStyle name="Обычный 3 3 3 6 10" xfId="1374"/>
    <cellStyle name="Обычный 3 3 3 6 11" xfId="1375"/>
    <cellStyle name="Обычный 3 3 3 6 12" xfId="1376"/>
    <cellStyle name="Обычный 3 3 3 6 13" xfId="1377"/>
    <cellStyle name="Обычный 3 3 3 6 14" xfId="1378"/>
    <cellStyle name="Обычный 3 3 3 6 15" xfId="1379"/>
    <cellStyle name="Обычный 3 3 3 6 16" xfId="1380"/>
    <cellStyle name="Обычный 3 3 3 6 2" xfId="1381"/>
    <cellStyle name="Обычный 3 3 3 6 3" xfId="1382"/>
    <cellStyle name="Обычный 3 3 3 6 4" xfId="1383"/>
    <cellStyle name="Обычный 3 3 3 6 5" xfId="1384"/>
    <cellStyle name="Обычный 3 3 3 6 6" xfId="1385"/>
    <cellStyle name="Обычный 3 3 3 6 7" xfId="1386"/>
    <cellStyle name="Обычный 3 3 3 6 8" xfId="1387"/>
    <cellStyle name="Обычный 3 3 3 6 9" xfId="1388"/>
    <cellStyle name="Обычный 3 3 3 7" xfId="1389"/>
    <cellStyle name="Обычный 3 3 3 7 10" xfId="1390"/>
    <cellStyle name="Обычный 3 3 3 7 11" xfId="1391"/>
    <cellStyle name="Обычный 3 3 3 7 12" xfId="1392"/>
    <cellStyle name="Обычный 3 3 3 7 13" xfId="1393"/>
    <cellStyle name="Обычный 3 3 3 7 14" xfId="1394"/>
    <cellStyle name="Обычный 3 3 3 7 15" xfId="1395"/>
    <cellStyle name="Обычный 3 3 3 7 16" xfId="1396"/>
    <cellStyle name="Обычный 3 3 3 7 2" xfId="1397"/>
    <cellStyle name="Обычный 3 3 3 7 3" xfId="1398"/>
    <cellStyle name="Обычный 3 3 3 7 4" xfId="1399"/>
    <cellStyle name="Обычный 3 3 3 7 5" xfId="1400"/>
    <cellStyle name="Обычный 3 3 3 7 6" xfId="1401"/>
    <cellStyle name="Обычный 3 3 3 7 7" xfId="1402"/>
    <cellStyle name="Обычный 3 3 3 7 8" xfId="1403"/>
    <cellStyle name="Обычный 3 3 3 7 9" xfId="1404"/>
    <cellStyle name="Обычный 3 3 3 8" xfId="1405"/>
    <cellStyle name="Обычный 3 3 3 8 10" xfId="1406"/>
    <cellStyle name="Обычный 3 3 3 8 11" xfId="1407"/>
    <cellStyle name="Обычный 3 3 3 8 12" xfId="1408"/>
    <cellStyle name="Обычный 3 3 3 8 13" xfId="1409"/>
    <cellStyle name="Обычный 3 3 3 8 14" xfId="1410"/>
    <cellStyle name="Обычный 3 3 3 8 15" xfId="1411"/>
    <cellStyle name="Обычный 3 3 3 8 16" xfId="1412"/>
    <cellStyle name="Обычный 3 3 3 8 2" xfId="1413"/>
    <cellStyle name="Обычный 3 3 3 8 3" xfId="1414"/>
    <cellStyle name="Обычный 3 3 3 8 4" xfId="1415"/>
    <cellStyle name="Обычный 3 3 3 8 5" xfId="1416"/>
    <cellStyle name="Обычный 3 3 3 8 6" xfId="1417"/>
    <cellStyle name="Обычный 3 3 3 8 7" xfId="1418"/>
    <cellStyle name="Обычный 3 3 3 8 8" xfId="1419"/>
    <cellStyle name="Обычный 3 3 3 8 9" xfId="1420"/>
    <cellStyle name="Обычный 3 3 3 9" xfId="1421"/>
    <cellStyle name="Обычный 3 3 4" xfId="1422"/>
    <cellStyle name="Обычный 3 3 4 10" xfId="1423"/>
    <cellStyle name="Обычный 3 3 4 11" xfId="1424"/>
    <cellStyle name="Обычный 3 3 4 12" xfId="1425"/>
    <cellStyle name="Обычный 3 3 4 13" xfId="1426"/>
    <cellStyle name="Обычный 3 3 4 14" xfId="1427"/>
    <cellStyle name="Обычный 3 3 4 15" xfId="1428"/>
    <cellStyle name="Обычный 3 3 4 16" xfId="1429"/>
    <cellStyle name="Обычный 3 3 4 17" xfId="1430"/>
    <cellStyle name="Обычный 3 3 4 18" xfId="1431"/>
    <cellStyle name="Обычный 3 3 4 19" xfId="1432"/>
    <cellStyle name="Обычный 3 3 4 2" xfId="1433"/>
    <cellStyle name="Обычный 3 3 4 2 10" xfId="1434"/>
    <cellStyle name="Обычный 3 3 4 2 11" xfId="1435"/>
    <cellStyle name="Обычный 3 3 4 2 12" xfId="1436"/>
    <cellStyle name="Обычный 3 3 4 2 13" xfId="1437"/>
    <cellStyle name="Обычный 3 3 4 2 14" xfId="1438"/>
    <cellStyle name="Обычный 3 3 4 2 15" xfId="1439"/>
    <cellStyle name="Обычный 3 3 4 2 16" xfId="1440"/>
    <cellStyle name="Обычный 3 3 4 2 2" xfId="1441"/>
    <cellStyle name="Обычный 3 3 4 2 3" xfId="1442"/>
    <cellStyle name="Обычный 3 3 4 2 4" xfId="1443"/>
    <cellStyle name="Обычный 3 3 4 2 5" xfId="1444"/>
    <cellStyle name="Обычный 3 3 4 2 6" xfId="1445"/>
    <cellStyle name="Обычный 3 3 4 2 7" xfId="1446"/>
    <cellStyle name="Обычный 3 3 4 2 8" xfId="1447"/>
    <cellStyle name="Обычный 3 3 4 2 9" xfId="1448"/>
    <cellStyle name="Обычный 3 3 4 20" xfId="1449"/>
    <cellStyle name="Обычный 3 3 4 21" xfId="1450"/>
    <cellStyle name="Обычный 3 3 4 22" xfId="1451"/>
    <cellStyle name="Обычный 3 3 4 23" xfId="1452"/>
    <cellStyle name="Обычный 3 3 4 24" xfId="1453"/>
    <cellStyle name="Обычный 3 3 4 25" xfId="1454"/>
    <cellStyle name="Обычный 3 3 4 3" xfId="1455"/>
    <cellStyle name="Обычный 3 3 4 3 10" xfId="1456"/>
    <cellStyle name="Обычный 3 3 4 3 11" xfId="1457"/>
    <cellStyle name="Обычный 3 3 4 3 12" xfId="1458"/>
    <cellStyle name="Обычный 3 3 4 3 13" xfId="1459"/>
    <cellStyle name="Обычный 3 3 4 3 14" xfId="1460"/>
    <cellStyle name="Обычный 3 3 4 3 15" xfId="1461"/>
    <cellStyle name="Обычный 3 3 4 3 16" xfId="1462"/>
    <cellStyle name="Обычный 3 3 4 3 2" xfId="1463"/>
    <cellStyle name="Обычный 3 3 4 3 3" xfId="1464"/>
    <cellStyle name="Обычный 3 3 4 3 4" xfId="1465"/>
    <cellStyle name="Обычный 3 3 4 3 5" xfId="1466"/>
    <cellStyle name="Обычный 3 3 4 3 6" xfId="1467"/>
    <cellStyle name="Обычный 3 3 4 3 7" xfId="1468"/>
    <cellStyle name="Обычный 3 3 4 3 8" xfId="1469"/>
    <cellStyle name="Обычный 3 3 4 3 9" xfId="1470"/>
    <cellStyle name="Обычный 3 3 4 4" xfId="1471"/>
    <cellStyle name="Обычный 3 3 4 4 10" xfId="1472"/>
    <cellStyle name="Обычный 3 3 4 4 11" xfId="1473"/>
    <cellStyle name="Обычный 3 3 4 4 12" xfId="1474"/>
    <cellStyle name="Обычный 3 3 4 4 13" xfId="1475"/>
    <cellStyle name="Обычный 3 3 4 4 14" xfId="1476"/>
    <cellStyle name="Обычный 3 3 4 4 15" xfId="1477"/>
    <cellStyle name="Обычный 3 3 4 4 16" xfId="1478"/>
    <cellStyle name="Обычный 3 3 4 4 2" xfId="1479"/>
    <cellStyle name="Обычный 3 3 4 4 3" xfId="1480"/>
    <cellStyle name="Обычный 3 3 4 4 4" xfId="1481"/>
    <cellStyle name="Обычный 3 3 4 4 5" xfId="1482"/>
    <cellStyle name="Обычный 3 3 4 4 6" xfId="1483"/>
    <cellStyle name="Обычный 3 3 4 4 7" xfId="1484"/>
    <cellStyle name="Обычный 3 3 4 4 8" xfId="1485"/>
    <cellStyle name="Обычный 3 3 4 4 9" xfId="1486"/>
    <cellStyle name="Обычный 3 3 4 5" xfId="1487"/>
    <cellStyle name="Обычный 3 3 4 5 10" xfId="1488"/>
    <cellStyle name="Обычный 3 3 4 5 11" xfId="1489"/>
    <cellStyle name="Обычный 3 3 4 5 12" xfId="1490"/>
    <cellStyle name="Обычный 3 3 4 5 13" xfId="1491"/>
    <cellStyle name="Обычный 3 3 4 5 14" xfId="1492"/>
    <cellStyle name="Обычный 3 3 4 5 15" xfId="1493"/>
    <cellStyle name="Обычный 3 3 4 5 16" xfId="1494"/>
    <cellStyle name="Обычный 3 3 4 5 2" xfId="1495"/>
    <cellStyle name="Обычный 3 3 4 5 3" xfId="1496"/>
    <cellStyle name="Обычный 3 3 4 5 4" xfId="1497"/>
    <cellStyle name="Обычный 3 3 4 5 5" xfId="1498"/>
    <cellStyle name="Обычный 3 3 4 5 6" xfId="1499"/>
    <cellStyle name="Обычный 3 3 4 5 7" xfId="1500"/>
    <cellStyle name="Обычный 3 3 4 5 8" xfId="1501"/>
    <cellStyle name="Обычный 3 3 4 5 9" xfId="1502"/>
    <cellStyle name="Обычный 3 3 4 6" xfId="1503"/>
    <cellStyle name="Обычный 3 3 4 6 10" xfId="1504"/>
    <cellStyle name="Обычный 3 3 4 6 11" xfId="1505"/>
    <cellStyle name="Обычный 3 3 4 6 12" xfId="1506"/>
    <cellStyle name="Обычный 3 3 4 6 13" xfId="1507"/>
    <cellStyle name="Обычный 3 3 4 6 14" xfId="1508"/>
    <cellStyle name="Обычный 3 3 4 6 15" xfId="1509"/>
    <cellStyle name="Обычный 3 3 4 6 16" xfId="1510"/>
    <cellStyle name="Обычный 3 3 4 6 2" xfId="1511"/>
    <cellStyle name="Обычный 3 3 4 6 3" xfId="1512"/>
    <cellStyle name="Обычный 3 3 4 6 4" xfId="1513"/>
    <cellStyle name="Обычный 3 3 4 6 5" xfId="1514"/>
    <cellStyle name="Обычный 3 3 4 6 6" xfId="1515"/>
    <cellStyle name="Обычный 3 3 4 6 7" xfId="1516"/>
    <cellStyle name="Обычный 3 3 4 6 8" xfId="1517"/>
    <cellStyle name="Обычный 3 3 4 6 9" xfId="1518"/>
    <cellStyle name="Обычный 3 3 4 7" xfId="1519"/>
    <cellStyle name="Обычный 3 3 4 7 10" xfId="1520"/>
    <cellStyle name="Обычный 3 3 4 7 11" xfId="1521"/>
    <cellStyle name="Обычный 3 3 4 7 12" xfId="1522"/>
    <cellStyle name="Обычный 3 3 4 7 13" xfId="1523"/>
    <cellStyle name="Обычный 3 3 4 7 14" xfId="1524"/>
    <cellStyle name="Обычный 3 3 4 7 15" xfId="1525"/>
    <cellStyle name="Обычный 3 3 4 7 16" xfId="1526"/>
    <cellStyle name="Обычный 3 3 4 7 2" xfId="1527"/>
    <cellStyle name="Обычный 3 3 4 7 3" xfId="1528"/>
    <cellStyle name="Обычный 3 3 4 7 4" xfId="1529"/>
    <cellStyle name="Обычный 3 3 4 7 5" xfId="1530"/>
    <cellStyle name="Обычный 3 3 4 7 6" xfId="1531"/>
    <cellStyle name="Обычный 3 3 4 7 7" xfId="1532"/>
    <cellStyle name="Обычный 3 3 4 7 8" xfId="1533"/>
    <cellStyle name="Обычный 3 3 4 7 9" xfId="1534"/>
    <cellStyle name="Обычный 3 3 4 8" xfId="1535"/>
    <cellStyle name="Обычный 3 3 4 8 10" xfId="1536"/>
    <cellStyle name="Обычный 3 3 4 8 11" xfId="1537"/>
    <cellStyle name="Обычный 3 3 4 8 12" xfId="1538"/>
    <cellStyle name="Обычный 3 3 4 8 13" xfId="1539"/>
    <cellStyle name="Обычный 3 3 4 8 14" xfId="1540"/>
    <cellStyle name="Обычный 3 3 4 8 15" xfId="1541"/>
    <cellStyle name="Обычный 3 3 4 8 16" xfId="1542"/>
    <cellStyle name="Обычный 3 3 4 8 2" xfId="1543"/>
    <cellStyle name="Обычный 3 3 4 8 3" xfId="1544"/>
    <cellStyle name="Обычный 3 3 4 8 4" xfId="1545"/>
    <cellStyle name="Обычный 3 3 4 8 5" xfId="1546"/>
    <cellStyle name="Обычный 3 3 4 8 6" xfId="1547"/>
    <cellStyle name="Обычный 3 3 4 8 7" xfId="1548"/>
    <cellStyle name="Обычный 3 3 4 8 8" xfId="1549"/>
    <cellStyle name="Обычный 3 3 4 8 9" xfId="1550"/>
    <cellStyle name="Обычный 3 3 4 9" xfId="1551"/>
    <cellStyle name="Обычный 3 3 5" xfId="1552"/>
    <cellStyle name="Обычный 3 3 5 10" xfId="1553"/>
    <cellStyle name="Обычный 3 3 5 11" xfId="1554"/>
    <cellStyle name="Обычный 3 3 5 12" xfId="1555"/>
    <cellStyle name="Обычный 3 3 5 13" xfId="1556"/>
    <cellStyle name="Обычный 3 3 5 14" xfId="1557"/>
    <cellStyle name="Обычный 3 3 5 15" xfId="1558"/>
    <cellStyle name="Обычный 3 3 5 16" xfId="1559"/>
    <cellStyle name="Обычный 3 3 5 2" xfId="1560"/>
    <cellStyle name="Обычный 3 3 5 3" xfId="1561"/>
    <cellStyle name="Обычный 3 3 5 4" xfId="1562"/>
    <cellStyle name="Обычный 3 3 5 5" xfId="1563"/>
    <cellStyle name="Обычный 3 3 5 6" xfId="1564"/>
    <cellStyle name="Обычный 3 3 5 7" xfId="1565"/>
    <cellStyle name="Обычный 3 3 5 8" xfId="1566"/>
    <cellStyle name="Обычный 3 3 5 9" xfId="1567"/>
    <cellStyle name="Обычный 3 3 6" xfId="1568"/>
    <cellStyle name="Обычный 3 3 6 10" xfId="1569"/>
    <cellStyle name="Обычный 3 3 6 11" xfId="1570"/>
    <cellStyle name="Обычный 3 3 6 12" xfId="1571"/>
    <cellStyle name="Обычный 3 3 6 13" xfId="1572"/>
    <cellStyle name="Обычный 3 3 6 14" xfId="1573"/>
    <cellStyle name="Обычный 3 3 6 15" xfId="1574"/>
    <cellStyle name="Обычный 3 3 6 16" xfId="1575"/>
    <cellStyle name="Обычный 3 3 6 2" xfId="1576"/>
    <cellStyle name="Обычный 3 3 6 3" xfId="1577"/>
    <cellStyle name="Обычный 3 3 6 4" xfId="1578"/>
    <cellStyle name="Обычный 3 3 6 5" xfId="1579"/>
    <cellStyle name="Обычный 3 3 6 6" xfId="1580"/>
    <cellStyle name="Обычный 3 3 6 7" xfId="1581"/>
    <cellStyle name="Обычный 3 3 6 8" xfId="1582"/>
    <cellStyle name="Обычный 3 3 6 9" xfId="1583"/>
    <cellStyle name="Обычный 3 3 7" xfId="1584"/>
    <cellStyle name="Обычный 3 3 7 10" xfId="1585"/>
    <cellStyle name="Обычный 3 3 7 11" xfId="1586"/>
    <cellStyle name="Обычный 3 3 7 12" xfId="1587"/>
    <cellStyle name="Обычный 3 3 7 13" xfId="1588"/>
    <cellStyle name="Обычный 3 3 7 14" xfId="1589"/>
    <cellStyle name="Обычный 3 3 7 15" xfId="1590"/>
    <cellStyle name="Обычный 3 3 7 16" xfId="1591"/>
    <cellStyle name="Обычный 3 3 7 2" xfId="1592"/>
    <cellStyle name="Обычный 3 3 7 3" xfId="1593"/>
    <cellStyle name="Обычный 3 3 7 4" xfId="1594"/>
    <cellStyle name="Обычный 3 3 7 5" xfId="1595"/>
    <cellStyle name="Обычный 3 3 7 6" xfId="1596"/>
    <cellStyle name="Обычный 3 3 7 7" xfId="1597"/>
    <cellStyle name="Обычный 3 3 7 8" xfId="1598"/>
    <cellStyle name="Обычный 3 3 7 9" xfId="1599"/>
    <cellStyle name="Обычный 3 3 8" xfId="1600"/>
    <cellStyle name="Обычный 3 3 8 10" xfId="1601"/>
    <cellStyle name="Обычный 3 3 8 11" xfId="1602"/>
    <cellStyle name="Обычный 3 3 8 12" xfId="1603"/>
    <cellStyle name="Обычный 3 3 8 13" xfId="1604"/>
    <cellStyle name="Обычный 3 3 8 14" xfId="1605"/>
    <cellStyle name="Обычный 3 3 8 15" xfId="1606"/>
    <cellStyle name="Обычный 3 3 8 16" xfId="1607"/>
    <cellStyle name="Обычный 3 3 8 2" xfId="1608"/>
    <cellStyle name="Обычный 3 3 8 3" xfId="1609"/>
    <cellStyle name="Обычный 3 3 8 4" xfId="1610"/>
    <cellStyle name="Обычный 3 3 8 5" xfId="1611"/>
    <cellStyle name="Обычный 3 3 8 6" xfId="1612"/>
    <cellStyle name="Обычный 3 3 8 7" xfId="1613"/>
    <cellStyle name="Обычный 3 3 8 8" xfId="1614"/>
    <cellStyle name="Обычный 3 3 8 9" xfId="1615"/>
    <cellStyle name="Обычный 3 3 9" xfId="1616"/>
    <cellStyle name="Обычный 3 3 9 10" xfId="1617"/>
    <cellStyle name="Обычный 3 3 9 11" xfId="1618"/>
    <cellStyle name="Обычный 3 3 9 12" xfId="1619"/>
    <cellStyle name="Обычный 3 3 9 13" xfId="1620"/>
    <cellStyle name="Обычный 3 3 9 14" xfId="1621"/>
    <cellStyle name="Обычный 3 3 9 15" xfId="1622"/>
    <cellStyle name="Обычный 3 3 9 16" xfId="1623"/>
    <cellStyle name="Обычный 3 3 9 2" xfId="1624"/>
    <cellStyle name="Обычный 3 3 9 3" xfId="1625"/>
    <cellStyle name="Обычный 3 3 9 4" xfId="1626"/>
    <cellStyle name="Обычный 3 3 9 5" xfId="1627"/>
    <cellStyle name="Обычный 3 3 9 6" xfId="1628"/>
    <cellStyle name="Обычный 3 3 9 7" xfId="1629"/>
    <cellStyle name="Обычный 3 3 9 8" xfId="1630"/>
    <cellStyle name="Обычный 3 3 9 9" xfId="1631"/>
    <cellStyle name="Обычный 3 30" xfId="1632"/>
    <cellStyle name="Обычный 3 31" xfId="1633"/>
    <cellStyle name="Обычный 3 32" xfId="1634"/>
    <cellStyle name="Обычный 3 33" xfId="1635"/>
    <cellStyle name="Обычный 3 34" xfId="1636"/>
    <cellStyle name="Обычный 3 4" xfId="1637"/>
    <cellStyle name="Обычный 3 4 10" xfId="1638"/>
    <cellStyle name="Обычный 3 4 10 10" xfId="1639"/>
    <cellStyle name="Обычный 3 4 10 11" xfId="1640"/>
    <cellStyle name="Обычный 3 4 10 12" xfId="1641"/>
    <cellStyle name="Обычный 3 4 10 13" xfId="1642"/>
    <cellStyle name="Обычный 3 4 10 14" xfId="1643"/>
    <cellStyle name="Обычный 3 4 10 15" xfId="1644"/>
    <cellStyle name="Обычный 3 4 10 16" xfId="1645"/>
    <cellStyle name="Обычный 3 4 10 2" xfId="1646"/>
    <cellStyle name="Обычный 3 4 10 3" xfId="1647"/>
    <cellStyle name="Обычный 3 4 10 4" xfId="1648"/>
    <cellStyle name="Обычный 3 4 10 5" xfId="1649"/>
    <cellStyle name="Обычный 3 4 10 6" xfId="1650"/>
    <cellStyle name="Обычный 3 4 10 7" xfId="1651"/>
    <cellStyle name="Обычный 3 4 10 8" xfId="1652"/>
    <cellStyle name="Обычный 3 4 10 9" xfId="1653"/>
    <cellStyle name="Обычный 3 4 11" xfId="1654"/>
    <cellStyle name="Обычный 3 4 11 10" xfId="1655"/>
    <cellStyle name="Обычный 3 4 11 11" xfId="1656"/>
    <cellStyle name="Обычный 3 4 11 12" xfId="1657"/>
    <cellStyle name="Обычный 3 4 11 13" xfId="1658"/>
    <cellStyle name="Обычный 3 4 11 14" xfId="1659"/>
    <cellStyle name="Обычный 3 4 11 15" xfId="1660"/>
    <cellStyle name="Обычный 3 4 11 16" xfId="1661"/>
    <cellStyle name="Обычный 3 4 11 2" xfId="1662"/>
    <cellStyle name="Обычный 3 4 11 3" xfId="1663"/>
    <cellStyle name="Обычный 3 4 11 4" xfId="1664"/>
    <cellStyle name="Обычный 3 4 11 5" xfId="1665"/>
    <cellStyle name="Обычный 3 4 11 6" xfId="1666"/>
    <cellStyle name="Обычный 3 4 11 7" xfId="1667"/>
    <cellStyle name="Обычный 3 4 11 8" xfId="1668"/>
    <cellStyle name="Обычный 3 4 11 9" xfId="1669"/>
    <cellStyle name="Обычный 3 4 12" xfId="1670"/>
    <cellStyle name="Обычный 3 4 13" xfId="1671"/>
    <cellStyle name="Обычный 3 4 14" xfId="1672"/>
    <cellStyle name="Обычный 3 4 15" xfId="1673"/>
    <cellStyle name="Обычный 3 4 16" xfId="1674"/>
    <cellStyle name="Обычный 3 4 17" xfId="1675"/>
    <cellStyle name="Обычный 3 4 18" xfId="1676"/>
    <cellStyle name="Обычный 3 4 19" xfId="1677"/>
    <cellStyle name="Обычный 3 4 2" xfId="1678"/>
    <cellStyle name="Обычный 3 4 2 10" xfId="1679"/>
    <cellStyle name="Обычный 3 4 2 11" xfId="1680"/>
    <cellStyle name="Обычный 3 4 2 12" xfId="1681"/>
    <cellStyle name="Обычный 3 4 2 13" xfId="1682"/>
    <cellStyle name="Обычный 3 4 2 14" xfId="1683"/>
    <cellStyle name="Обычный 3 4 2 15" xfId="1684"/>
    <cellStyle name="Обычный 3 4 2 16" xfId="1685"/>
    <cellStyle name="Обычный 3 4 2 17" xfId="1686"/>
    <cellStyle name="Обычный 3 4 2 18" xfId="1687"/>
    <cellStyle name="Обычный 3 4 2 19" xfId="1688"/>
    <cellStyle name="Обычный 3 4 2 2" xfId="1689"/>
    <cellStyle name="Обычный 3 4 2 2 10" xfId="1690"/>
    <cellStyle name="Обычный 3 4 2 2 11" xfId="1691"/>
    <cellStyle name="Обычный 3 4 2 2 12" xfId="1692"/>
    <cellStyle name="Обычный 3 4 2 2 13" xfId="1693"/>
    <cellStyle name="Обычный 3 4 2 2 14" xfId="1694"/>
    <cellStyle name="Обычный 3 4 2 2 15" xfId="1695"/>
    <cellStyle name="Обычный 3 4 2 2 16" xfId="1696"/>
    <cellStyle name="Обычный 3 4 2 2 2" xfId="1697"/>
    <cellStyle name="Обычный 3 4 2 2 3" xfId="1698"/>
    <cellStyle name="Обычный 3 4 2 2 4" xfId="1699"/>
    <cellStyle name="Обычный 3 4 2 2 5" xfId="1700"/>
    <cellStyle name="Обычный 3 4 2 2 6" xfId="1701"/>
    <cellStyle name="Обычный 3 4 2 2 7" xfId="1702"/>
    <cellStyle name="Обычный 3 4 2 2 8" xfId="1703"/>
    <cellStyle name="Обычный 3 4 2 2 9" xfId="1704"/>
    <cellStyle name="Обычный 3 4 2 20" xfId="1705"/>
    <cellStyle name="Обычный 3 4 2 21" xfId="1706"/>
    <cellStyle name="Обычный 3 4 2 22" xfId="1707"/>
    <cellStyle name="Обычный 3 4 2 23" xfId="1708"/>
    <cellStyle name="Обычный 3 4 2 24" xfId="1709"/>
    <cellStyle name="Обычный 3 4 2 25" xfId="1710"/>
    <cellStyle name="Обычный 3 4 2 3" xfId="1711"/>
    <cellStyle name="Обычный 3 4 2 3 10" xfId="1712"/>
    <cellStyle name="Обычный 3 4 2 3 11" xfId="1713"/>
    <cellStyle name="Обычный 3 4 2 3 12" xfId="1714"/>
    <cellStyle name="Обычный 3 4 2 3 13" xfId="1715"/>
    <cellStyle name="Обычный 3 4 2 3 14" xfId="1716"/>
    <cellStyle name="Обычный 3 4 2 3 15" xfId="1717"/>
    <cellStyle name="Обычный 3 4 2 3 16" xfId="1718"/>
    <cellStyle name="Обычный 3 4 2 3 2" xfId="1719"/>
    <cellStyle name="Обычный 3 4 2 3 3" xfId="1720"/>
    <cellStyle name="Обычный 3 4 2 3 4" xfId="1721"/>
    <cellStyle name="Обычный 3 4 2 3 5" xfId="1722"/>
    <cellStyle name="Обычный 3 4 2 3 6" xfId="1723"/>
    <cellStyle name="Обычный 3 4 2 3 7" xfId="1724"/>
    <cellStyle name="Обычный 3 4 2 3 8" xfId="1725"/>
    <cellStyle name="Обычный 3 4 2 3 9" xfId="1726"/>
    <cellStyle name="Обычный 3 4 2 4" xfId="1727"/>
    <cellStyle name="Обычный 3 4 2 4 10" xfId="1728"/>
    <cellStyle name="Обычный 3 4 2 4 11" xfId="1729"/>
    <cellStyle name="Обычный 3 4 2 4 12" xfId="1730"/>
    <cellStyle name="Обычный 3 4 2 4 13" xfId="1731"/>
    <cellStyle name="Обычный 3 4 2 4 14" xfId="1732"/>
    <cellStyle name="Обычный 3 4 2 4 15" xfId="1733"/>
    <cellStyle name="Обычный 3 4 2 4 16" xfId="1734"/>
    <cellStyle name="Обычный 3 4 2 4 2" xfId="1735"/>
    <cellStyle name="Обычный 3 4 2 4 3" xfId="1736"/>
    <cellStyle name="Обычный 3 4 2 4 4" xfId="1737"/>
    <cellStyle name="Обычный 3 4 2 4 5" xfId="1738"/>
    <cellStyle name="Обычный 3 4 2 4 6" xfId="1739"/>
    <cellStyle name="Обычный 3 4 2 4 7" xfId="1740"/>
    <cellStyle name="Обычный 3 4 2 4 8" xfId="1741"/>
    <cellStyle name="Обычный 3 4 2 4 9" xfId="1742"/>
    <cellStyle name="Обычный 3 4 2 5" xfId="1743"/>
    <cellStyle name="Обычный 3 4 2 5 10" xfId="1744"/>
    <cellStyle name="Обычный 3 4 2 5 11" xfId="1745"/>
    <cellStyle name="Обычный 3 4 2 5 12" xfId="1746"/>
    <cellStyle name="Обычный 3 4 2 5 13" xfId="1747"/>
    <cellStyle name="Обычный 3 4 2 5 14" xfId="1748"/>
    <cellStyle name="Обычный 3 4 2 5 15" xfId="1749"/>
    <cellStyle name="Обычный 3 4 2 5 16" xfId="1750"/>
    <cellStyle name="Обычный 3 4 2 5 2" xfId="1751"/>
    <cellStyle name="Обычный 3 4 2 5 3" xfId="1752"/>
    <cellStyle name="Обычный 3 4 2 5 4" xfId="1753"/>
    <cellStyle name="Обычный 3 4 2 5 5" xfId="1754"/>
    <cellStyle name="Обычный 3 4 2 5 6" xfId="1755"/>
    <cellStyle name="Обычный 3 4 2 5 7" xfId="1756"/>
    <cellStyle name="Обычный 3 4 2 5 8" xfId="1757"/>
    <cellStyle name="Обычный 3 4 2 5 9" xfId="1758"/>
    <cellStyle name="Обычный 3 4 2 6" xfId="1759"/>
    <cellStyle name="Обычный 3 4 2 6 10" xfId="1760"/>
    <cellStyle name="Обычный 3 4 2 6 11" xfId="1761"/>
    <cellStyle name="Обычный 3 4 2 6 12" xfId="1762"/>
    <cellStyle name="Обычный 3 4 2 6 13" xfId="1763"/>
    <cellStyle name="Обычный 3 4 2 6 14" xfId="1764"/>
    <cellStyle name="Обычный 3 4 2 6 15" xfId="1765"/>
    <cellStyle name="Обычный 3 4 2 6 16" xfId="1766"/>
    <cellStyle name="Обычный 3 4 2 6 2" xfId="1767"/>
    <cellStyle name="Обычный 3 4 2 6 3" xfId="1768"/>
    <cellStyle name="Обычный 3 4 2 6 4" xfId="1769"/>
    <cellStyle name="Обычный 3 4 2 6 5" xfId="1770"/>
    <cellStyle name="Обычный 3 4 2 6 6" xfId="1771"/>
    <cellStyle name="Обычный 3 4 2 6 7" xfId="1772"/>
    <cellStyle name="Обычный 3 4 2 6 8" xfId="1773"/>
    <cellStyle name="Обычный 3 4 2 6 9" xfId="1774"/>
    <cellStyle name="Обычный 3 4 2 7" xfId="1775"/>
    <cellStyle name="Обычный 3 4 2 7 10" xfId="1776"/>
    <cellStyle name="Обычный 3 4 2 7 11" xfId="1777"/>
    <cellStyle name="Обычный 3 4 2 7 12" xfId="1778"/>
    <cellStyle name="Обычный 3 4 2 7 13" xfId="1779"/>
    <cellStyle name="Обычный 3 4 2 7 14" xfId="1780"/>
    <cellStyle name="Обычный 3 4 2 7 15" xfId="1781"/>
    <cellStyle name="Обычный 3 4 2 7 16" xfId="1782"/>
    <cellStyle name="Обычный 3 4 2 7 2" xfId="1783"/>
    <cellStyle name="Обычный 3 4 2 7 3" xfId="1784"/>
    <cellStyle name="Обычный 3 4 2 7 4" xfId="1785"/>
    <cellStyle name="Обычный 3 4 2 7 5" xfId="1786"/>
    <cellStyle name="Обычный 3 4 2 7 6" xfId="1787"/>
    <cellStyle name="Обычный 3 4 2 7 7" xfId="1788"/>
    <cellStyle name="Обычный 3 4 2 7 8" xfId="1789"/>
    <cellStyle name="Обычный 3 4 2 7 9" xfId="1790"/>
    <cellStyle name="Обычный 3 4 2 8" xfId="1791"/>
    <cellStyle name="Обычный 3 4 2 8 10" xfId="1792"/>
    <cellStyle name="Обычный 3 4 2 8 11" xfId="1793"/>
    <cellStyle name="Обычный 3 4 2 8 12" xfId="1794"/>
    <cellStyle name="Обычный 3 4 2 8 13" xfId="1795"/>
    <cellStyle name="Обычный 3 4 2 8 14" xfId="1796"/>
    <cellStyle name="Обычный 3 4 2 8 15" xfId="1797"/>
    <cellStyle name="Обычный 3 4 2 8 16" xfId="1798"/>
    <cellStyle name="Обычный 3 4 2 8 2" xfId="1799"/>
    <cellStyle name="Обычный 3 4 2 8 3" xfId="1800"/>
    <cellStyle name="Обычный 3 4 2 8 4" xfId="1801"/>
    <cellStyle name="Обычный 3 4 2 8 5" xfId="1802"/>
    <cellStyle name="Обычный 3 4 2 8 6" xfId="1803"/>
    <cellStyle name="Обычный 3 4 2 8 7" xfId="1804"/>
    <cellStyle name="Обычный 3 4 2 8 8" xfId="1805"/>
    <cellStyle name="Обычный 3 4 2 8 9" xfId="1806"/>
    <cellStyle name="Обычный 3 4 2 9" xfId="1807"/>
    <cellStyle name="Обычный 3 4 20" xfId="1808"/>
    <cellStyle name="Обычный 3 4 21" xfId="1809"/>
    <cellStyle name="Обычный 3 4 22" xfId="1810"/>
    <cellStyle name="Обычный 3 4 23" xfId="1811"/>
    <cellStyle name="Обычный 3 4 24" xfId="1812"/>
    <cellStyle name="Обычный 3 4 25" xfId="1813"/>
    <cellStyle name="Обычный 3 4 26" xfId="1814"/>
    <cellStyle name="Обычный 3 4 27" xfId="1815"/>
    <cellStyle name="Обычный 3 4 28" xfId="1816"/>
    <cellStyle name="Обычный 3 4 3" xfId="1817"/>
    <cellStyle name="Обычный 3 4 3 10" xfId="1818"/>
    <cellStyle name="Обычный 3 4 3 11" xfId="1819"/>
    <cellStyle name="Обычный 3 4 3 12" xfId="1820"/>
    <cellStyle name="Обычный 3 4 3 13" xfId="1821"/>
    <cellStyle name="Обычный 3 4 3 14" xfId="1822"/>
    <cellStyle name="Обычный 3 4 3 15" xfId="1823"/>
    <cellStyle name="Обычный 3 4 3 16" xfId="1824"/>
    <cellStyle name="Обычный 3 4 3 17" xfId="1825"/>
    <cellStyle name="Обычный 3 4 3 18" xfId="1826"/>
    <cellStyle name="Обычный 3 4 3 19" xfId="1827"/>
    <cellStyle name="Обычный 3 4 3 2" xfId="1828"/>
    <cellStyle name="Обычный 3 4 3 2 10" xfId="1829"/>
    <cellStyle name="Обычный 3 4 3 2 11" xfId="1830"/>
    <cellStyle name="Обычный 3 4 3 2 12" xfId="1831"/>
    <cellStyle name="Обычный 3 4 3 2 13" xfId="1832"/>
    <cellStyle name="Обычный 3 4 3 2 14" xfId="1833"/>
    <cellStyle name="Обычный 3 4 3 2 15" xfId="1834"/>
    <cellStyle name="Обычный 3 4 3 2 16" xfId="1835"/>
    <cellStyle name="Обычный 3 4 3 2 2" xfId="1836"/>
    <cellStyle name="Обычный 3 4 3 2 3" xfId="1837"/>
    <cellStyle name="Обычный 3 4 3 2 4" xfId="1838"/>
    <cellStyle name="Обычный 3 4 3 2 5" xfId="1839"/>
    <cellStyle name="Обычный 3 4 3 2 6" xfId="1840"/>
    <cellStyle name="Обычный 3 4 3 2 7" xfId="1841"/>
    <cellStyle name="Обычный 3 4 3 2 8" xfId="1842"/>
    <cellStyle name="Обычный 3 4 3 2 9" xfId="1843"/>
    <cellStyle name="Обычный 3 4 3 20" xfId="1844"/>
    <cellStyle name="Обычный 3 4 3 21" xfId="1845"/>
    <cellStyle name="Обычный 3 4 3 22" xfId="1846"/>
    <cellStyle name="Обычный 3 4 3 23" xfId="1847"/>
    <cellStyle name="Обычный 3 4 3 24" xfId="1848"/>
    <cellStyle name="Обычный 3 4 3 25" xfId="1849"/>
    <cellStyle name="Обычный 3 4 3 3" xfId="1850"/>
    <cellStyle name="Обычный 3 4 3 3 10" xfId="1851"/>
    <cellStyle name="Обычный 3 4 3 3 11" xfId="1852"/>
    <cellStyle name="Обычный 3 4 3 3 12" xfId="1853"/>
    <cellStyle name="Обычный 3 4 3 3 13" xfId="1854"/>
    <cellStyle name="Обычный 3 4 3 3 14" xfId="1855"/>
    <cellStyle name="Обычный 3 4 3 3 15" xfId="1856"/>
    <cellStyle name="Обычный 3 4 3 3 16" xfId="1857"/>
    <cellStyle name="Обычный 3 4 3 3 2" xfId="1858"/>
    <cellStyle name="Обычный 3 4 3 3 3" xfId="1859"/>
    <cellStyle name="Обычный 3 4 3 3 4" xfId="1860"/>
    <cellStyle name="Обычный 3 4 3 3 5" xfId="1861"/>
    <cellStyle name="Обычный 3 4 3 3 6" xfId="1862"/>
    <cellStyle name="Обычный 3 4 3 3 7" xfId="1863"/>
    <cellStyle name="Обычный 3 4 3 3 8" xfId="1864"/>
    <cellStyle name="Обычный 3 4 3 3 9" xfId="1865"/>
    <cellStyle name="Обычный 3 4 3 4" xfId="1866"/>
    <cellStyle name="Обычный 3 4 3 4 10" xfId="1867"/>
    <cellStyle name="Обычный 3 4 3 4 11" xfId="1868"/>
    <cellStyle name="Обычный 3 4 3 4 12" xfId="1869"/>
    <cellStyle name="Обычный 3 4 3 4 13" xfId="1870"/>
    <cellStyle name="Обычный 3 4 3 4 14" xfId="1871"/>
    <cellStyle name="Обычный 3 4 3 4 15" xfId="1872"/>
    <cellStyle name="Обычный 3 4 3 4 16" xfId="1873"/>
    <cellStyle name="Обычный 3 4 3 4 2" xfId="1874"/>
    <cellStyle name="Обычный 3 4 3 4 3" xfId="1875"/>
    <cellStyle name="Обычный 3 4 3 4 4" xfId="1876"/>
    <cellStyle name="Обычный 3 4 3 4 5" xfId="1877"/>
    <cellStyle name="Обычный 3 4 3 4 6" xfId="1878"/>
    <cellStyle name="Обычный 3 4 3 4 7" xfId="1879"/>
    <cellStyle name="Обычный 3 4 3 4 8" xfId="1880"/>
    <cellStyle name="Обычный 3 4 3 4 9" xfId="1881"/>
    <cellStyle name="Обычный 3 4 3 5" xfId="1882"/>
    <cellStyle name="Обычный 3 4 3 5 10" xfId="1883"/>
    <cellStyle name="Обычный 3 4 3 5 11" xfId="1884"/>
    <cellStyle name="Обычный 3 4 3 5 12" xfId="1885"/>
    <cellStyle name="Обычный 3 4 3 5 13" xfId="1886"/>
    <cellStyle name="Обычный 3 4 3 5 14" xfId="1887"/>
    <cellStyle name="Обычный 3 4 3 5 15" xfId="1888"/>
    <cellStyle name="Обычный 3 4 3 5 16" xfId="1889"/>
    <cellStyle name="Обычный 3 4 3 5 2" xfId="1890"/>
    <cellStyle name="Обычный 3 4 3 5 3" xfId="1891"/>
    <cellStyle name="Обычный 3 4 3 5 4" xfId="1892"/>
    <cellStyle name="Обычный 3 4 3 5 5" xfId="1893"/>
    <cellStyle name="Обычный 3 4 3 5 6" xfId="1894"/>
    <cellStyle name="Обычный 3 4 3 5 7" xfId="1895"/>
    <cellStyle name="Обычный 3 4 3 5 8" xfId="1896"/>
    <cellStyle name="Обычный 3 4 3 5 9" xfId="1897"/>
    <cellStyle name="Обычный 3 4 3 6" xfId="1898"/>
    <cellStyle name="Обычный 3 4 3 6 10" xfId="1899"/>
    <cellStyle name="Обычный 3 4 3 6 11" xfId="1900"/>
    <cellStyle name="Обычный 3 4 3 6 12" xfId="1901"/>
    <cellStyle name="Обычный 3 4 3 6 13" xfId="1902"/>
    <cellStyle name="Обычный 3 4 3 6 14" xfId="1903"/>
    <cellStyle name="Обычный 3 4 3 6 15" xfId="1904"/>
    <cellStyle name="Обычный 3 4 3 6 16" xfId="1905"/>
    <cellStyle name="Обычный 3 4 3 6 2" xfId="1906"/>
    <cellStyle name="Обычный 3 4 3 6 3" xfId="1907"/>
    <cellStyle name="Обычный 3 4 3 6 4" xfId="1908"/>
    <cellStyle name="Обычный 3 4 3 6 5" xfId="1909"/>
    <cellStyle name="Обычный 3 4 3 6 6" xfId="1910"/>
    <cellStyle name="Обычный 3 4 3 6 7" xfId="1911"/>
    <cellStyle name="Обычный 3 4 3 6 8" xfId="1912"/>
    <cellStyle name="Обычный 3 4 3 6 9" xfId="1913"/>
    <cellStyle name="Обычный 3 4 3 7" xfId="1914"/>
    <cellStyle name="Обычный 3 4 3 7 10" xfId="1915"/>
    <cellStyle name="Обычный 3 4 3 7 11" xfId="1916"/>
    <cellStyle name="Обычный 3 4 3 7 12" xfId="1917"/>
    <cellStyle name="Обычный 3 4 3 7 13" xfId="1918"/>
    <cellStyle name="Обычный 3 4 3 7 14" xfId="1919"/>
    <cellStyle name="Обычный 3 4 3 7 15" xfId="1920"/>
    <cellStyle name="Обычный 3 4 3 7 16" xfId="1921"/>
    <cellStyle name="Обычный 3 4 3 7 2" xfId="1922"/>
    <cellStyle name="Обычный 3 4 3 7 3" xfId="1923"/>
    <cellStyle name="Обычный 3 4 3 7 4" xfId="1924"/>
    <cellStyle name="Обычный 3 4 3 7 5" xfId="1925"/>
    <cellStyle name="Обычный 3 4 3 7 6" xfId="1926"/>
    <cellStyle name="Обычный 3 4 3 7 7" xfId="1927"/>
    <cellStyle name="Обычный 3 4 3 7 8" xfId="1928"/>
    <cellStyle name="Обычный 3 4 3 7 9" xfId="1929"/>
    <cellStyle name="Обычный 3 4 3 8" xfId="1930"/>
    <cellStyle name="Обычный 3 4 3 8 10" xfId="1931"/>
    <cellStyle name="Обычный 3 4 3 8 11" xfId="1932"/>
    <cellStyle name="Обычный 3 4 3 8 12" xfId="1933"/>
    <cellStyle name="Обычный 3 4 3 8 13" xfId="1934"/>
    <cellStyle name="Обычный 3 4 3 8 14" xfId="1935"/>
    <cellStyle name="Обычный 3 4 3 8 15" xfId="1936"/>
    <cellStyle name="Обычный 3 4 3 8 16" xfId="1937"/>
    <cellStyle name="Обычный 3 4 3 8 2" xfId="1938"/>
    <cellStyle name="Обычный 3 4 3 8 3" xfId="1939"/>
    <cellStyle name="Обычный 3 4 3 8 4" xfId="1940"/>
    <cellStyle name="Обычный 3 4 3 8 5" xfId="1941"/>
    <cellStyle name="Обычный 3 4 3 8 6" xfId="1942"/>
    <cellStyle name="Обычный 3 4 3 8 7" xfId="1943"/>
    <cellStyle name="Обычный 3 4 3 8 8" xfId="1944"/>
    <cellStyle name="Обычный 3 4 3 8 9" xfId="1945"/>
    <cellStyle name="Обычный 3 4 3 9" xfId="1946"/>
    <cellStyle name="Обычный 3 4 4" xfId="1947"/>
    <cellStyle name="Обычный 3 4 4 10" xfId="1948"/>
    <cellStyle name="Обычный 3 4 4 11" xfId="1949"/>
    <cellStyle name="Обычный 3 4 4 12" xfId="1950"/>
    <cellStyle name="Обычный 3 4 4 13" xfId="1951"/>
    <cellStyle name="Обычный 3 4 4 14" xfId="1952"/>
    <cellStyle name="Обычный 3 4 4 15" xfId="1953"/>
    <cellStyle name="Обычный 3 4 4 16" xfId="1954"/>
    <cellStyle name="Обычный 3 4 4 17" xfId="1955"/>
    <cellStyle name="Обычный 3 4 4 18" xfId="1956"/>
    <cellStyle name="Обычный 3 4 4 19" xfId="1957"/>
    <cellStyle name="Обычный 3 4 4 2" xfId="1958"/>
    <cellStyle name="Обычный 3 4 4 2 10" xfId="1959"/>
    <cellStyle name="Обычный 3 4 4 2 11" xfId="1960"/>
    <cellStyle name="Обычный 3 4 4 2 12" xfId="1961"/>
    <cellStyle name="Обычный 3 4 4 2 13" xfId="1962"/>
    <cellStyle name="Обычный 3 4 4 2 14" xfId="1963"/>
    <cellStyle name="Обычный 3 4 4 2 15" xfId="1964"/>
    <cellStyle name="Обычный 3 4 4 2 16" xfId="1965"/>
    <cellStyle name="Обычный 3 4 4 2 2" xfId="1966"/>
    <cellStyle name="Обычный 3 4 4 2 3" xfId="1967"/>
    <cellStyle name="Обычный 3 4 4 2 4" xfId="1968"/>
    <cellStyle name="Обычный 3 4 4 2 5" xfId="1969"/>
    <cellStyle name="Обычный 3 4 4 2 6" xfId="1970"/>
    <cellStyle name="Обычный 3 4 4 2 7" xfId="1971"/>
    <cellStyle name="Обычный 3 4 4 2 8" xfId="1972"/>
    <cellStyle name="Обычный 3 4 4 2 9" xfId="1973"/>
    <cellStyle name="Обычный 3 4 4 20" xfId="1974"/>
    <cellStyle name="Обычный 3 4 4 21" xfId="1975"/>
    <cellStyle name="Обычный 3 4 4 22" xfId="1976"/>
    <cellStyle name="Обычный 3 4 4 23" xfId="1977"/>
    <cellStyle name="Обычный 3 4 4 24" xfId="1978"/>
    <cellStyle name="Обычный 3 4 4 25" xfId="1979"/>
    <cellStyle name="Обычный 3 4 4 3" xfId="1980"/>
    <cellStyle name="Обычный 3 4 4 3 10" xfId="1981"/>
    <cellStyle name="Обычный 3 4 4 3 11" xfId="1982"/>
    <cellStyle name="Обычный 3 4 4 3 12" xfId="1983"/>
    <cellStyle name="Обычный 3 4 4 3 13" xfId="1984"/>
    <cellStyle name="Обычный 3 4 4 3 14" xfId="1985"/>
    <cellStyle name="Обычный 3 4 4 3 15" xfId="1986"/>
    <cellStyle name="Обычный 3 4 4 3 16" xfId="1987"/>
    <cellStyle name="Обычный 3 4 4 3 2" xfId="1988"/>
    <cellStyle name="Обычный 3 4 4 3 3" xfId="1989"/>
    <cellStyle name="Обычный 3 4 4 3 4" xfId="1990"/>
    <cellStyle name="Обычный 3 4 4 3 5" xfId="1991"/>
    <cellStyle name="Обычный 3 4 4 3 6" xfId="1992"/>
    <cellStyle name="Обычный 3 4 4 3 7" xfId="1993"/>
    <cellStyle name="Обычный 3 4 4 3 8" xfId="1994"/>
    <cellStyle name="Обычный 3 4 4 3 9" xfId="1995"/>
    <cellStyle name="Обычный 3 4 4 4" xfId="1996"/>
    <cellStyle name="Обычный 3 4 4 4 10" xfId="1997"/>
    <cellStyle name="Обычный 3 4 4 4 11" xfId="1998"/>
    <cellStyle name="Обычный 3 4 4 4 12" xfId="1999"/>
    <cellStyle name="Обычный 3 4 4 4 13" xfId="2000"/>
    <cellStyle name="Обычный 3 4 4 4 14" xfId="2001"/>
    <cellStyle name="Обычный 3 4 4 4 15" xfId="2002"/>
    <cellStyle name="Обычный 3 4 4 4 16" xfId="2003"/>
    <cellStyle name="Обычный 3 4 4 4 2" xfId="2004"/>
    <cellStyle name="Обычный 3 4 4 4 3" xfId="2005"/>
    <cellStyle name="Обычный 3 4 4 4 4" xfId="2006"/>
    <cellStyle name="Обычный 3 4 4 4 5" xfId="2007"/>
    <cellStyle name="Обычный 3 4 4 4 6" xfId="2008"/>
    <cellStyle name="Обычный 3 4 4 4 7" xfId="2009"/>
    <cellStyle name="Обычный 3 4 4 4 8" xfId="2010"/>
    <cellStyle name="Обычный 3 4 4 4 9" xfId="2011"/>
    <cellStyle name="Обычный 3 4 4 5" xfId="2012"/>
    <cellStyle name="Обычный 3 4 4 5 10" xfId="2013"/>
    <cellStyle name="Обычный 3 4 4 5 11" xfId="2014"/>
    <cellStyle name="Обычный 3 4 4 5 12" xfId="2015"/>
    <cellStyle name="Обычный 3 4 4 5 13" xfId="2016"/>
    <cellStyle name="Обычный 3 4 4 5 14" xfId="2017"/>
    <cellStyle name="Обычный 3 4 4 5 15" xfId="2018"/>
    <cellStyle name="Обычный 3 4 4 5 16" xfId="2019"/>
    <cellStyle name="Обычный 3 4 4 5 2" xfId="2020"/>
    <cellStyle name="Обычный 3 4 4 5 3" xfId="2021"/>
    <cellStyle name="Обычный 3 4 4 5 4" xfId="2022"/>
    <cellStyle name="Обычный 3 4 4 5 5" xfId="2023"/>
    <cellStyle name="Обычный 3 4 4 5 6" xfId="2024"/>
    <cellStyle name="Обычный 3 4 4 5 7" xfId="2025"/>
    <cellStyle name="Обычный 3 4 4 5 8" xfId="2026"/>
    <cellStyle name="Обычный 3 4 4 5 9" xfId="2027"/>
    <cellStyle name="Обычный 3 4 4 6" xfId="2028"/>
    <cellStyle name="Обычный 3 4 4 6 10" xfId="2029"/>
    <cellStyle name="Обычный 3 4 4 6 11" xfId="2030"/>
    <cellStyle name="Обычный 3 4 4 6 12" xfId="2031"/>
    <cellStyle name="Обычный 3 4 4 6 13" xfId="2032"/>
    <cellStyle name="Обычный 3 4 4 6 14" xfId="2033"/>
    <cellStyle name="Обычный 3 4 4 6 15" xfId="2034"/>
    <cellStyle name="Обычный 3 4 4 6 16" xfId="2035"/>
    <cellStyle name="Обычный 3 4 4 6 2" xfId="2036"/>
    <cellStyle name="Обычный 3 4 4 6 3" xfId="2037"/>
    <cellStyle name="Обычный 3 4 4 6 4" xfId="2038"/>
    <cellStyle name="Обычный 3 4 4 6 5" xfId="2039"/>
    <cellStyle name="Обычный 3 4 4 6 6" xfId="2040"/>
    <cellStyle name="Обычный 3 4 4 6 7" xfId="2041"/>
    <cellStyle name="Обычный 3 4 4 6 8" xfId="2042"/>
    <cellStyle name="Обычный 3 4 4 6 9" xfId="2043"/>
    <cellStyle name="Обычный 3 4 4 7" xfId="2044"/>
    <cellStyle name="Обычный 3 4 4 7 10" xfId="2045"/>
    <cellStyle name="Обычный 3 4 4 7 11" xfId="2046"/>
    <cellStyle name="Обычный 3 4 4 7 12" xfId="2047"/>
    <cellStyle name="Обычный 3 4 4 7 13" xfId="2048"/>
    <cellStyle name="Обычный 3 4 4 7 14" xfId="2049"/>
    <cellStyle name="Обычный 3 4 4 7 15" xfId="2050"/>
    <cellStyle name="Обычный 3 4 4 7 16" xfId="2051"/>
    <cellStyle name="Обычный 3 4 4 7 2" xfId="2052"/>
    <cellStyle name="Обычный 3 4 4 7 3" xfId="2053"/>
    <cellStyle name="Обычный 3 4 4 7 4" xfId="2054"/>
    <cellStyle name="Обычный 3 4 4 7 5" xfId="2055"/>
    <cellStyle name="Обычный 3 4 4 7 6" xfId="2056"/>
    <cellStyle name="Обычный 3 4 4 7 7" xfId="2057"/>
    <cellStyle name="Обычный 3 4 4 7 8" xfId="2058"/>
    <cellStyle name="Обычный 3 4 4 7 9" xfId="2059"/>
    <cellStyle name="Обычный 3 4 4 8" xfId="2060"/>
    <cellStyle name="Обычный 3 4 4 8 10" xfId="2061"/>
    <cellStyle name="Обычный 3 4 4 8 11" xfId="2062"/>
    <cellStyle name="Обычный 3 4 4 8 12" xfId="2063"/>
    <cellStyle name="Обычный 3 4 4 8 13" xfId="2064"/>
    <cellStyle name="Обычный 3 4 4 8 14" xfId="2065"/>
    <cellStyle name="Обычный 3 4 4 8 15" xfId="2066"/>
    <cellStyle name="Обычный 3 4 4 8 16" xfId="2067"/>
    <cellStyle name="Обычный 3 4 4 8 2" xfId="2068"/>
    <cellStyle name="Обычный 3 4 4 8 3" xfId="2069"/>
    <cellStyle name="Обычный 3 4 4 8 4" xfId="2070"/>
    <cellStyle name="Обычный 3 4 4 8 5" xfId="2071"/>
    <cellStyle name="Обычный 3 4 4 8 6" xfId="2072"/>
    <cellStyle name="Обычный 3 4 4 8 7" xfId="2073"/>
    <cellStyle name="Обычный 3 4 4 8 8" xfId="2074"/>
    <cellStyle name="Обычный 3 4 4 8 9" xfId="2075"/>
    <cellStyle name="Обычный 3 4 4 9" xfId="2076"/>
    <cellStyle name="Обычный 3 4 5" xfId="2077"/>
    <cellStyle name="Обычный 3 4 5 10" xfId="2078"/>
    <cellStyle name="Обычный 3 4 5 11" xfId="2079"/>
    <cellStyle name="Обычный 3 4 5 12" xfId="2080"/>
    <cellStyle name="Обычный 3 4 5 13" xfId="2081"/>
    <cellStyle name="Обычный 3 4 5 14" xfId="2082"/>
    <cellStyle name="Обычный 3 4 5 15" xfId="2083"/>
    <cellStyle name="Обычный 3 4 5 16" xfId="2084"/>
    <cellStyle name="Обычный 3 4 5 2" xfId="2085"/>
    <cellStyle name="Обычный 3 4 5 3" xfId="2086"/>
    <cellStyle name="Обычный 3 4 5 4" xfId="2087"/>
    <cellStyle name="Обычный 3 4 5 5" xfId="2088"/>
    <cellStyle name="Обычный 3 4 5 6" xfId="2089"/>
    <cellStyle name="Обычный 3 4 5 7" xfId="2090"/>
    <cellStyle name="Обычный 3 4 5 8" xfId="2091"/>
    <cellStyle name="Обычный 3 4 5 9" xfId="2092"/>
    <cellStyle name="Обычный 3 4 6" xfId="2093"/>
    <cellStyle name="Обычный 3 4 6 10" xfId="2094"/>
    <cellStyle name="Обычный 3 4 6 11" xfId="2095"/>
    <cellStyle name="Обычный 3 4 6 12" xfId="2096"/>
    <cellStyle name="Обычный 3 4 6 13" xfId="2097"/>
    <cellStyle name="Обычный 3 4 6 14" xfId="2098"/>
    <cellStyle name="Обычный 3 4 6 15" xfId="2099"/>
    <cellStyle name="Обычный 3 4 6 16" xfId="2100"/>
    <cellStyle name="Обычный 3 4 6 2" xfId="2101"/>
    <cellStyle name="Обычный 3 4 6 3" xfId="2102"/>
    <cellStyle name="Обычный 3 4 6 4" xfId="2103"/>
    <cellStyle name="Обычный 3 4 6 5" xfId="2104"/>
    <cellStyle name="Обычный 3 4 6 6" xfId="2105"/>
    <cellStyle name="Обычный 3 4 6 7" xfId="2106"/>
    <cellStyle name="Обычный 3 4 6 8" xfId="2107"/>
    <cellStyle name="Обычный 3 4 6 9" xfId="2108"/>
    <cellStyle name="Обычный 3 4 7" xfId="2109"/>
    <cellStyle name="Обычный 3 4 7 10" xfId="2110"/>
    <cellStyle name="Обычный 3 4 7 11" xfId="2111"/>
    <cellStyle name="Обычный 3 4 7 12" xfId="2112"/>
    <cellStyle name="Обычный 3 4 7 13" xfId="2113"/>
    <cellStyle name="Обычный 3 4 7 14" xfId="2114"/>
    <cellStyle name="Обычный 3 4 7 15" xfId="2115"/>
    <cellStyle name="Обычный 3 4 7 16" xfId="2116"/>
    <cellStyle name="Обычный 3 4 7 2" xfId="2117"/>
    <cellStyle name="Обычный 3 4 7 3" xfId="2118"/>
    <cellStyle name="Обычный 3 4 7 4" xfId="2119"/>
    <cellStyle name="Обычный 3 4 7 5" xfId="2120"/>
    <cellStyle name="Обычный 3 4 7 6" xfId="2121"/>
    <cellStyle name="Обычный 3 4 7 7" xfId="2122"/>
    <cellStyle name="Обычный 3 4 7 8" xfId="2123"/>
    <cellStyle name="Обычный 3 4 7 9" xfId="2124"/>
    <cellStyle name="Обычный 3 4 8" xfId="2125"/>
    <cellStyle name="Обычный 3 4 8 10" xfId="2126"/>
    <cellStyle name="Обычный 3 4 8 11" xfId="2127"/>
    <cellStyle name="Обычный 3 4 8 12" xfId="2128"/>
    <cellStyle name="Обычный 3 4 8 13" xfId="2129"/>
    <cellStyle name="Обычный 3 4 8 14" xfId="2130"/>
    <cellStyle name="Обычный 3 4 8 15" xfId="2131"/>
    <cellStyle name="Обычный 3 4 8 16" xfId="2132"/>
    <cellStyle name="Обычный 3 4 8 2" xfId="2133"/>
    <cellStyle name="Обычный 3 4 8 3" xfId="2134"/>
    <cellStyle name="Обычный 3 4 8 4" xfId="2135"/>
    <cellStyle name="Обычный 3 4 8 5" xfId="2136"/>
    <cellStyle name="Обычный 3 4 8 6" xfId="2137"/>
    <cellStyle name="Обычный 3 4 8 7" xfId="2138"/>
    <cellStyle name="Обычный 3 4 8 8" xfId="2139"/>
    <cellStyle name="Обычный 3 4 8 9" xfId="2140"/>
    <cellStyle name="Обычный 3 4 9" xfId="2141"/>
    <cellStyle name="Обычный 3 4 9 10" xfId="2142"/>
    <cellStyle name="Обычный 3 4 9 11" xfId="2143"/>
    <cellStyle name="Обычный 3 4 9 12" xfId="2144"/>
    <cellStyle name="Обычный 3 4 9 13" xfId="2145"/>
    <cellStyle name="Обычный 3 4 9 14" xfId="2146"/>
    <cellStyle name="Обычный 3 4 9 15" xfId="2147"/>
    <cellStyle name="Обычный 3 4 9 16" xfId="2148"/>
    <cellStyle name="Обычный 3 4 9 2" xfId="2149"/>
    <cellStyle name="Обычный 3 4 9 3" xfId="2150"/>
    <cellStyle name="Обычный 3 4 9 4" xfId="2151"/>
    <cellStyle name="Обычный 3 4 9 5" xfId="2152"/>
    <cellStyle name="Обычный 3 4 9 6" xfId="2153"/>
    <cellStyle name="Обычный 3 4 9 7" xfId="2154"/>
    <cellStyle name="Обычный 3 4 9 8" xfId="2155"/>
    <cellStyle name="Обычный 3 4 9 9" xfId="2156"/>
    <cellStyle name="Обычный 3 5" xfId="2157"/>
    <cellStyle name="Обычный 3 5 10" xfId="2158"/>
    <cellStyle name="Обычный 3 5 11" xfId="2159"/>
    <cellStyle name="Обычный 3 5 12" xfId="2160"/>
    <cellStyle name="Обычный 3 5 13" xfId="2161"/>
    <cellStyle name="Обычный 3 5 14" xfId="2162"/>
    <cellStyle name="Обычный 3 5 15" xfId="2163"/>
    <cellStyle name="Обычный 3 5 16" xfId="2164"/>
    <cellStyle name="Обычный 3 5 17" xfId="2165"/>
    <cellStyle name="Обычный 3 5 18" xfId="2166"/>
    <cellStyle name="Обычный 3 5 19" xfId="2167"/>
    <cellStyle name="Обычный 3 5 2" xfId="2168"/>
    <cellStyle name="Обычный 3 5 2 10" xfId="2169"/>
    <cellStyle name="Обычный 3 5 2 11" xfId="2170"/>
    <cellStyle name="Обычный 3 5 2 12" xfId="2171"/>
    <cellStyle name="Обычный 3 5 2 13" xfId="2172"/>
    <cellStyle name="Обычный 3 5 2 14" xfId="2173"/>
    <cellStyle name="Обычный 3 5 2 15" xfId="2174"/>
    <cellStyle name="Обычный 3 5 2 16" xfId="2175"/>
    <cellStyle name="Обычный 3 5 2 2" xfId="2176"/>
    <cellStyle name="Обычный 3 5 2 3" xfId="2177"/>
    <cellStyle name="Обычный 3 5 2 4" xfId="2178"/>
    <cellStyle name="Обычный 3 5 2 5" xfId="2179"/>
    <cellStyle name="Обычный 3 5 2 6" xfId="2180"/>
    <cellStyle name="Обычный 3 5 2 7" xfId="2181"/>
    <cellStyle name="Обычный 3 5 2 8" xfId="2182"/>
    <cellStyle name="Обычный 3 5 2 9" xfId="2183"/>
    <cellStyle name="Обычный 3 5 20" xfId="2184"/>
    <cellStyle name="Обычный 3 5 21" xfId="2185"/>
    <cellStyle name="Обычный 3 5 22" xfId="2186"/>
    <cellStyle name="Обычный 3 5 23" xfId="2187"/>
    <cellStyle name="Обычный 3 5 24" xfId="2188"/>
    <cellStyle name="Обычный 3 5 25" xfId="2189"/>
    <cellStyle name="Обычный 3 5 3" xfId="2190"/>
    <cellStyle name="Обычный 3 5 3 10" xfId="2191"/>
    <cellStyle name="Обычный 3 5 3 11" xfId="2192"/>
    <cellStyle name="Обычный 3 5 3 12" xfId="2193"/>
    <cellStyle name="Обычный 3 5 3 13" xfId="2194"/>
    <cellStyle name="Обычный 3 5 3 14" xfId="2195"/>
    <cellStyle name="Обычный 3 5 3 15" xfId="2196"/>
    <cellStyle name="Обычный 3 5 3 16" xfId="2197"/>
    <cellStyle name="Обычный 3 5 3 2" xfId="2198"/>
    <cellStyle name="Обычный 3 5 3 3" xfId="2199"/>
    <cellStyle name="Обычный 3 5 3 4" xfId="2200"/>
    <cellStyle name="Обычный 3 5 3 5" xfId="2201"/>
    <cellStyle name="Обычный 3 5 3 6" xfId="2202"/>
    <cellStyle name="Обычный 3 5 3 7" xfId="2203"/>
    <cellStyle name="Обычный 3 5 3 8" xfId="2204"/>
    <cellStyle name="Обычный 3 5 3 9" xfId="2205"/>
    <cellStyle name="Обычный 3 5 4" xfId="2206"/>
    <cellStyle name="Обычный 3 5 4 10" xfId="2207"/>
    <cellStyle name="Обычный 3 5 4 11" xfId="2208"/>
    <cellStyle name="Обычный 3 5 4 12" xfId="2209"/>
    <cellStyle name="Обычный 3 5 4 13" xfId="2210"/>
    <cellStyle name="Обычный 3 5 4 14" xfId="2211"/>
    <cellStyle name="Обычный 3 5 4 15" xfId="2212"/>
    <cellStyle name="Обычный 3 5 4 16" xfId="2213"/>
    <cellStyle name="Обычный 3 5 4 2" xfId="2214"/>
    <cellStyle name="Обычный 3 5 4 3" xfId="2215"/>
    <cellStyle name="Обычный 3 5 4 4" xfId="2216"/>
    <cellStyle name="Обычный 3 5 4 5" xfId="2217"/>
    <cellStyle name="Обычный 3 5 4 6" xfId="2218"/>
    <cellStyle name="Обычный 3 5 4 7" xfId="2219"/>
    <cellStyle name="Обычный 3 5 4 8" xfId="2220"/>
    <cellStyle name="Обычный 3 5 4 9" xfId="2221"/>
    <cellStyle name="Обычный 3 5 5" xfId="2222"/>
    <cellStyle name="Обычный 3 5 5 10" xfId="2223"/>
    <cellStyle name="Обычный 3 5 5 11" xfId="2224"/>
    <cellStyle name="Обычный 3 5 5 12" xfId="2225"/>
    <cellStyle name="Обычный 3 5 5 13" xfId="2226"/>
    <cellStyle name="Обычный 3 5 5 14" xfId="2227"/>
    <cellStyle name="Обычный 3 5 5 15" xfId="2228"/>
    <cellStyle name="Обычный 3 5 5 16" xfId="2229"/>
    <cellStyle name="Обычный 3 5 5 2" xfId="2230"/>
    <cellStyle name="Обычный 3 5 5 3" xfId="2231"/>
    <cellStyle name="Обычный 3 5 5 4" xfId="2232"/>
    <cellStyle name="Обычный 3 5 5 5" xfId="2233"/>
    <cellStyle name="Обычный 3 5 5 6" xfId="2234"/>
    <cellStyle name="Обычный 3 5 5 7" xfId="2235"/>
    <cellStyle name="Обычный 3 5 5 8" xfId="2236"/>
    <cellStyle name="Обычный 3 5 5 9" xfId="2237"/>
    <cellStyle name="Обычный 3 5 6" xfId="2238"/>
    <cellStyle name="Обычный 3 5 6 10" xfId="2239"/>
    <cellStyle name="Обычный 3 5 6 11" xfId="2240"/>
    <cellStyle name="Обычный 3 5 6 12" xfId="2241"/>
    <cellStyle name="Обычный 3 5 6 13" xfId="2242"/>
    <cellStyle name="Обычный 3 5 6 14" xfId="2243"/>
    <cellStyle name="Обычный 3 5 6 15" xfId="2244"/>
    <cellStyle name="Обычный 3 5 6 16" xfId="2245"/>
    <cellStyle name="Обычный 3 5 6 2" xfId="2246"/>
    <cellStyle name="Обычный 3 5 6 3" xfId="2247"/>
    <cellStyle name="Обычный 3 5 6 4" xfId="2248"/>
    <cellStyle name="Обычный 3 5 6 5" xfId="2249"/>
    <cellStyle name="Обычный 3 5 6 6" xfId="2250"/>
    <cellStyle name="Обычный 3 5 6 7" xfId="2251"/>
    <cellStyle name="Обычный 3 5 6 8" xfId="2252"/>
    <cellStyle name="Обычный 3 5 6 9" xfId="2253"/>
    <cellStyle name="Обычный 3 5 7" xfId="2254"/>
    <cellStyle name="Обычный 3 5 7 10" xfId="2255"/>
    <cellStyle name="Обычный 3 5 7 11" xfId="2256"/>
    <cellStyle name="Обычный 3 5 7 12" xfId="2257"/>
    <cellStyle name="Обычный 3 5 7 13" xfId="2258"/>
    <cellStyle name="Обычный 3 5 7 14" xfId="2259"/>
    <cellStyle name="Обычный 3 5 7 15" xfId="2260"/>
    <cellStyle name="Обычный 3 5 7 16" xfId="2261"/>
    <cellStyle name="Обычный 3 5 7 2" xfId="2262"/>
    <cellStyle name="Обычный 3 5 7 3" xfId="2263"/>
    <cellStyle name="Обычный 3 5 7 4" xfId="2264"/>
    <cellStyle name="Обычный 3 5 7 5" xfId="2265"/>
    <cellStyle name="Обычный 3 5 7 6" xfId="2266"/>
    <cellStyle name="Обычный 3 5 7 7" xfId="2267"/>
    <cellStyle name="Обычный 3 5 7 8" xfId="2268"/>
    <cellStyle name="Обычный 3 5 7 9" xfId="2269"/>
    <cellStyle name="Обычный 3 5 8" xfId="2270"/>
    <cellStyle name="Обычный 3 5 8 10" xfId="2271"/>
    <cellStyle name="Обычный 3 5 8 11" xfId="2272"/>
    <cellStyle name="Обычный 3 5 8 12" xfId="2273"/>
    <cellStyle name="Обычный 3 5 8 13" xfId="2274"/>
    <cellStyle name="Обычный 3 5 8 14" xfId="2275"/>
    <cellStyle name="Обычный 3 5 8 15" xfId="2276"/>
    <cellStyle name="Обычный 3 5 8 16" xfId="2277"/>
    <cellStyle name="Обычный 3 5 8 2" xfId="2278"/>
    <cellStyle name="Обычный 3 5 8 3" xfId="2279"/>
    <cellStyle name="Обычный 3 5 8 4" xfId="2280"/>
    <cellStyle name="Обычный 3 5 8 5" xfId="2281"/>
    <cellStyle name="Обычный 3 5 8 6" xfId="2282"/>
    <cellStyle name="Обычный 3 5 8 7" xfId="2283"/>
    <cellStyle name="Обычный 3 5 8 8" xfId="2284"/>
    <cellStyle name="Обычный 3 5 8 9" xfId="2285"/>
    <cellStyle name="Обычный 3 5 9" xfId="2286"/>
    <cellStyle name="Обычный 3 6" xfId="2287"/>
    <cellStyle name="Обычный 3 6 10" xfId="2288"/>
    <cellStyle name="Обычный 3 6 11" xfId="2289"/>
    <cellStyle name="Обычный 3 6 12" xfId="2290"/>
    <cellStyle name="Обычный 3 6 13" xfId="2291"/>
    <cellStyle name="Обычный 3 6 14" xfId="2292"/>
    <cellStyle name="Обычный 3 6 15" xfId="2293"/>
    <cellStyle name="Обычный 3 6 16" xfId="2294"/>
    <cellStyle name="Обычный 3 6 17" xfId="2295"/>
    <cellStyle name="Обычный 3 6 18" xfId="2296"/>
    <cellStyle name="Обычный 3 6 19" xfId="2297"/>
    <cellStyle name="Обычный 3 6 2" xfId="2298"/>
    <cellStyle name="Обычный 3 6 2 10" xfId="2299"/>
    <cellStyle name="Обычный 3 6 2 11" xfId="2300"/>
    <cellStyle name="Обычный 3 6 2 12" xfId="2301"/>
    <cellStyle name="Обычный 3 6 2 13" xfId="2302"/>
    <cellStyle name="Обычный 3 6 2 14" xfId="2303"/>
    <cellStyle name="Обычный 3 6 2 15" xfId="2304"/>
    <cellStyle name="Обычный 3 6 2 16" xfId="2305"/>
    <cellStyle name="Обычный 3 6 2 2" xfId="2306"/>
    <cellStyle name="Обычный 3 6 2 3" xfId="2307"/>
    <cellStyle name="Обычный 3 6 2 4" xfId="2308"/>
    <cellStyle name="Обычный 3 6 2 5" xfId="2309"/>
    <cellStyle name="Обычный 3 6 2 6" xfId="2310"/>
    <cellStyle name="Обычный 3 6 2 7" xfId="2311"/>
    <cellStyle name="Обычный 3 6 2 8" xfId="2312"/>
    <cellStyle name="Обычный 3 6 2 9" xfId="2313"/>
    <cellStyle name="Обычный 3 6 20" xfId="2314"/>
    <cellStyle name="Обычный 3 6 21" xfId="2315"/>
    <cellStyle name="Обычный 3 6 22" xfId="2316"/>
    <cellStyle name="Обычный 3 6 23" xfId="2317"/>
    <cellStyle name="Обычный 3 6 24" xfId="2318"/>
    <cellStyle name="Обычный 3 6 25" xfId="2319"/>
    <cellStyle name="Обычный 3 6 3" xfId="2320"/>
    <cellStyle name="Обычный 3 6 3 10" xfId="2321"/>
    <cellStyle name="Обычный 3 6 3 11" xfId="2322"/>
    <cellStyle name="Обычный 3 6 3 12" xfId="2323"/>
    <cellStyle name="Обычный 3 6 3 13" xfId="2324"/>
    <cellStyle name="Обычный 3 6 3 14" xfId="2325"/>
    <cellStyle name="Обычный 3 6 3 15" xfId="2326"/>
    <cellStyle name="Обычный 3 6 3 16" xfId="2327"/>
    <cellStyle name="Обычный 3 6 3 2" xfId="2328"/>
    <cellStyle name="Обычный 3 6 3 3" xfId="2329"/>
    <cellStyle name="Обычный 3 6 3 4" xfId="2330"/>
    <cellStyle name="Обычный 3 6 3 5" xfId="2331"/>
    <cellStyle name="Обычный 3 6 3 6" xfId="2332"/>
    <cellStyle name="Обычный 3 6 3 7" xfId="2333"/>
    <cellStyle name="Обычный 3 6 3 8" xfId="2334"/>
    <cellStyle name="Обычный 3 6 3 9" xfId="2335"/>
    <cellStyle name="Обычный 3 6 4" xfId="2336"/>
    <cellStyle name="Обычный 3 6 4 10" xfId="2337"/>
    <cellStyle name="Обычный 3 6 4 11" xfId="2338"/>
    <cellStyle name="Обычный 3 6 4 12" xfId="2339"/>
    <cellStyle name="Обычный 3 6 4 13" xfId="2340"/>
    <cellStyle name="Обычный 3 6 4 14" xfId="2341"/>
    <cellStyle name="Обычный 3 6 4 15" xfId="2342"/>
    <cellStyle name="Обычный 3 6 4 16" xfId="2343"/>
    <cellStyle name="Обычный 3 6 4 2" xfId="2344"/>
    <cellStyle name="Обычный 3 6 4 3" xfId="2345"/>
    <cellStyle name="Обычный 3 6 4 4" xfId="2346"/>
    <cellStyle name="Обычный 3 6 4 5" xfId="2347"/>
    <cellStyle name="Обычный 3 6 4 6" xfId="2348"/>
    <cellStyle name="Обычный 3 6 4 7" xfId="2349"/>
    <cellStyle name="Обычный 3 6 4 8" xfId="2350"/>
    <cellStyle name="Обычный 3 6 4 9" xfId="2351"/>
    <cellStyle name="Обычный 3 6 5" xfId="2352"/>
    <cellStyle name="Обычный 3 6 5 10" xfId="2353"/>
    <cellStyle name="Обычный 3 6 5 11" xfId="2354"/>
    <cellStyle name="Обычный 3 6 5 12" xfId="2355"/>
    <cellStyle name="Обычный 3 6 5 13" xfId="2356"/>
    <cellStyle name="Обычный 3 6 5 14" xfId="2357"/>
    <cellStyle name="Обычный 3 6 5 15" xfId="2358"/>
    <cellStyle name="Обычный 3 6 5 16" xfId="2359"/>
    <cellStyle name="Обычный 3 6 5 2" xfId="2360"/>
    <cellStyle name="Обычный 3 6 5 3" xfId="2361"/>
    <cellStyle name="Обычный 3 6 5 4" xfId="2362"/>
    <cellStyle name="Обычный 3 6 5 5" xfId="2363"/>
    <cellStyle name="Обычный 3 6 5 6" xfId="2364"/>
    <cellStyle name="Обычный 3 6 5 7" xfId="2365"/>
    <cellStyle name="Обычный 3 6 5 8" xfId="2366"/>
    <cellStyle name="Обычный 3 6 5 9" xfId="2367"/>
    <cellStyle name="Обычный 3 6 6" xfId="2368"/>
    <cellStyle name="Обычный 3 6 6 10" xfId="2369"/>
    <cellStyle name="Обычный 3 6 6 11" xfId="2370"/>
    <cellStyle name="Обычный 3 6 6 12" xfId="2371"/>
    <cellStyle name="Обычный 3 6 6 13" xfId="2372"/>
    <cellStyle name="Обычный 3 6 6 14" xfId="2373"/>
    <cellStyle name="Обычный 3 6 6 15" xfId="2374"/>
    <cellStyle name="Обычный 3 6 6 16" xfId="2375"/>
    <cellStyle name="Обычный 3 6 6 2" xfId="2376"/>
    <cellStyle name="Обычный 3 6 6 3" xfId="2377"/>
    <cellStyle name="Обычный 3 6 6 4" xfId="2378"/>
    <cellStyle name="Обычный 3 6 6 5" xfId="2379"/>
    <cellStyle name="Обычный 3 6 6 6" xfId="2380"/>
    <cellStyle name="Обычный 3 6 6 7" xfId="2381"/>
    <cellStyle name="Обычный 3 6 6 8" xfId="2382"/>
    <cellStyle name="Обычный 3 6 6 9" xfId="2383"/>
    <cellStyle name="Обычный 3 6 7" xfId="2384"/>
    <cellStyle name="Обычный 3 6 7 10" xfId="2385"/>
    <cellStyle name="Обычный 3 6 7 11" xfId="2386"/>
    <cellStyle name="Обычный 3 6 7 12" xfId="2387"/>
    <cellStyle name="Обычный 3 6 7 13" xfId="2388"/>
    <cellStyle name="Обычный 3 6 7 14" xfId="2389"/>
    <cellStyle name="Обычный 3 6 7 15" xfId="2390"/>
    <cellStyle name="Обычный 3 6 7 16" xfId="2391"/>
    <cellStyle name="Обычный 3 6 7 2" xfId="2392"/>
    <cellStyle name="Обычный 3 6 7 3" xfId="2393"/>
    <cellStyle name="Обычный 3 6 7 4" xfId="2394"/>
    <cellStyle name="Обычный 3 6 7 5" xfId="2395"/>
    <cellStyle name="Обычный 3 6 7 6" xfId="2396"/>
    <cellStyle name="Обычный 3 6 7 7" xfId="2397"/>
    <cellStyle name="Обычный 3 6 7 8" xfId="2398"/>
    <cellStyle name="Обычный 3 6 7 9" xfId="2399"/>
    <cellStyle name="Обычный 3 6 8" xfId="2400"/>
    <cellStyle name="Обычный 3 6 8 10" xfId="2401"/>
    <cellStyle name="Обычный 3 6 8 11" xfId="2402"/>
    <cellStyle name="Обычный 3 6 8 12" xfId="2403"/>
    <cellStyle name="Обычный 3 6 8 13" xfId="2404"/>
    <cellStyle name="Обычный 3 6 8 14" xfId="2405"/>
    <cellStyle name="Обычный 3 6 8 15" xfId="2406"/>
    <cellStyle name="Обычный 3 6 8 16" xfId="2407"/>
    <cellStyle name="Обычный 3 6 8 2" xfId="2408"/>
    <cellStyle name="Обычный 3 6 8 3" xfId="2409"/>
    <cellStyle name="Обычный 3 6 8 4" xfId="2410"/>
    <cellStyle name="Обычный 3 6 8 5" xfId="2411"/>
    <cellStyle name="Обычный 3 6 8 6" xfId="2412"/>
    <cellStyle name="Обычный 3 6 8 7" xfId="2413"/>
    <cellStyle name="Обычный 3 6 8 8" xfId="2414"/>
    <cellStyle name="Обычный 3 6 8 9" xfId="2415"/>
    <cellStyle name="Обычный 3 6 9" xfId="2416"/>
    <cellStyle name="Обычный 3 7" xfId="2417"/>
    <cellStyle name="Обычный 3 7 10" xfId="2418"/>
    <cellStyle name="Обычный 3 7 11" xfId="2419"/>
    <cellStyle name="Обычный 3 7 12" xfId="2420"/>
    <cellStyle name="Обычный 3 7 13" xfId="2421"/>
    <cellStyle name="Обычный 3 7 14" xfId="2422"/>
    <cellStyle name="Обычный 3 7 15" xfId="2423"/>
    <cellStyle name="Обычный 3 7 16" xfId="2424"/>
    <cellStyle name="Обычный 3 7 17" xfId="2425"/>
    <cellStyle name="Обычный 3 7 18" xfId="2426"/>
    <cellStyle name="Обычный 3 7 19" xfId="2427"/>
    <cellStyle name="Обычный 3 7 2" xfId="2428"/>
    <cellStyle name="Обычный 3 7 2 10" xfId="2429"/>
    <cellStyle name="Обычный 3 7 2 11" xfId="2430"/>
    <cellStyle name="Обычный 3 7 2 12" xfId="2431"/>
    <cellStyle name="Обычный 3 7 2 13" xfId="2432"/>
    <cellStyle name="Обычный 3 7 2 14" xfId="2433"/>
    <cellStyle name="Обычный 3 7 2 15" xfId="2434"/>
    <cellStyle name="Обычный 3 7 2 16" xfId="2435"/>
    <cellStyle name="Обычный 3 7 2 2" xfId="2436"/>
    <cellStyle name="Обычный 3 7 2 3" xfId="2437"/>
    <cellStyle name="Обычный 3 7 2 4" xfId="2438"/>
    <cellStyle name="Обычный 3 7 2 5" xfId="2439"/>
    <cellStyle name="Обычный 3 7 2 6" xfId="2440"/>
    <cellStyle name="Обычный 3 7 2 7" xfId="2441"/>
    <cellStyle name="Обычный 3 7 2 8" xfId="2442"/>
    <cellStyle name="Обычный 3 7 2 9" xfId="2443"/>
    <cellStyle name="Обычный 3 7 20" xfId="2444"/>
    <cellStyle name="Обычный 3 7 21" xfId="2445"/>
    <cellStyle name="Обычный 3 7 22" xfId="2446"/>
    <cellStyle name="Обычный 3 7 23" xfId="2447"/>
    <cellStyle name="Обычный 3 7 24" xfId="2448"/>
    <cellStyle name="Обычный 3 7 25" xfId="2449"/>
    <cellStyle name="Обычный 3 7 3" xfId="2450"/>
    <cellStyle name="Обычный 3 7 3 10" xfId="2451"/>
    <cellStyle name="Обычный 3 7 3 11" xfId="2452"/>
    <cellStyle name="Обычный 3 7 3 12" xfId="2453"/>
    <cellStyle name="Обычный 3 7 3 13" xfId="2454"/>
    <cellStyle name="Обычный 3 7 3 14" xfId="2455"/>
    <cellStyle name="Обычный 3 7 3 15" xfId="2456"/>
    <cellStyle name="Обычный 3 7 3 16" xfId="2457"/>
    <cellStyle name="Обычный 3 7 3 2" xfId="2458"/>
    <cellStyle name="Обычный 3 7 3 3" xfId="2459"/>
    <cellStyle name="Обычный 3 7 3 4" xfId="2460"/>
    <cellStyle name="Обычный 3 7 3 5" xfId="2461"/>
    <cellStyle name="Обычный 3 7 3 6" xfId="2462"/>
    <cellStyle name="Обычный 3 7 3 7" xfId="2463"/>
    <cellStyle name="Обычный 3 7 3 8" xfId="2464"/>
    <cellStyle name="Обычный 3 7 3 9" xfId="2465"/>
    <cellStyle name="Обычный 3 7 4" xfId="2466"/>
    <cellStyle name="Обычный 3 7 4 10" xfId="2467"/>
    <cellStyle name="Обычный 3 7 4 11" xfId="2468"/>
    <cellStyle name="Обычный 3 7 4 12" xfId="2469"/>
    <cellStyle name="Обычный 3 7 4 13" xfId="2470"/>
    <cellStyle name="Обычный 3 7 4 14" xfId="2471"/>
    <cellStyle name="Обычный 3 7 4 15" xfId="2472"/>
    <cellStyle name="Обычный 3 7 4 16" xfId="2473"/>
    <cellStyle name="Обычный 3 7 4 2" xfId="2474"/>
    <cellStyle name="Обычный 3 7 4 3" xfId="2475"/>
    <cellStyle name="Обычный 3 7 4 4" xfId="2476"/>
    <cellStyle name="Обычный 3 7 4 5" xfId="2477"/>
    <cellStyle name="Обычный 3 7 4 6" xfId="2478"/>
    <cellStyle name="Обычный 3 7 4 7" xfId="2479"/>
    <cellStyle name="Обычный 3 7 4 8" xfId="2480"/>
    <cellStyle name="Обычный 3 7 4 9" xfId="2481"/>
    <cellStyle name="Обычный 3 7 5" xfId="2482"/>
    <cellStyle name="Обычный 3 7 5 10" xfId="2483"/>
    <cellStyle name="Обычный 3 7 5 11" xfId="2484"/>
    <cellStyle name="Обычный 3 7 5 12" xfId="2485"/>
    <cellStyle name="Обычный 3 7 5 13" xfId="2486"/>
    <cellStyle name="Обычный 3 7 5 14" xfId="2487"/>
    <cellStyle name="Обычный 3 7 5 15" xfId="2488"/>
    <cellStyle name="Обычный 3 7 5 16" xfId="2489"/>
    <cellStyle name="Обычный 3 7 5 2" xfId="2490"/>
    <cellStyle name="Обычный 3 7 5 3" xfId="2491"/>
    <cellStyle name="Обычный 3 7 5 4" xfId="2492"/>
    <cellStyle name="Обычный 3 7 5 5" xfId="2493"/>
    <cellStyle name="Обычный 3 7 5 6" xfId="2494"/>
    <cellStyle name="Обычный 3 7 5 7" xfId="2495"/>
    <cellStyle name="Обычный 3 7 5 8" xfId="2496"/>
    <cellStyle name="Обычный 3 7 5 9" xfId="2497"/>
    <cellStyle name="Обычный 3 7 6" xfId="2498"/>
    <cellStyle name="Обычный 3 7 6 10" xfId="2499"/>
    <cellStyle name="Обычный 3 7 6 11" xfId="2500"/>
    <cellStyle name="Обычный 3 7 6 12" xfId="2501"/>
    <cellStyle name="Обычный 3 7 6 13" xfId="2502"/>
    <cellStyle name="Обычный 3 7 6 14" xfId="2503"/>
    <cellStyle name="Обычный 3 7 6 15" xfId="2504"/>
    <cellStyle name="Обычный 3 7 6 16" xfId="2505"/>
    <cellStyle name="Обычный 3 7 6 2" xfId="2506"/>
    <cellStyle name="Обычный 3 7 6 3" xfId="2507"/>
    <cellStyle name="Обычный 3 7 6 4" xfId="2508"/>
    <cellStyle name="Обычный 3 7 6 5" xfId="2509"/>
    <cellStyle name="Обычный 3 7 6 6" xfId="2510"/>
    <cellStyle name="Обычный 3 7 6 7" xfId="2511"/>
    <cellStyle name="Обычный 3 7 6 8" xfId="2512"/>
    <cellStyle name="Обычный 3 7 6 9" xfId="2513"/>
    <cellStyle name="Обычный 3 7 7" xfId="2514"/>
    <cellStyle name="Обычный 3 7 7 10" xfId="2515"/>
    <cellStyle name="Обычный 3 7 7 11" xfId="2516"/>
    <cellStyle name="Обычный 3 7 7 12" xfId="2517"/>
    <cellStyle name="Обычный 3 7 7 13" xfId="2518"/>
    <cellStyle name="Обычный 3 7 7 14" xfId="2519"/>
    <cellStyle name="Обычный 3 7 7 15" xfId="2520"/>
    <cellStyle name="Обычный 3 7 7 16" xfId="2521"/>
    <cellStyle name="Обычный 3 7 7 2" xfId="2522"/>
    <cellStyle name="Обычный 3 7 7 3" xfId="2523"/>
    <cellStyle name="Обычный 3 7 7 4" xfId="2524"/>
    <cellStyle name="Обычный 3 7 7 5" xfId="2525"/>
    <cellStyle name="Обычный 3 7 7 6" xfId="2526"/>
    <cellStyle name="Обычный 3 7 7 7" xfId="2527"/>
    <cellStyle name="Обычный 3 7 7 8" xfId="2528"/>
    <cellStyle name="Обычный 3 7 7 9" xfId="2529"/>
    <cellStyle name="Обычный 3 7 8" xfId="2530"/>
    <cellStyle name="Обычный 3 7 8 10" xfId="2531"/>
    <cellStyle name="Обычный 3 7 8 11" xfId="2532"/>
    <cellStyle name="Обычный 3 7 8 12" xfId="2533"/>
    <cellStyle name="Обычный 3 7 8 13" xfId="2534"/>
    <cellStyle name="Обычный 3 7 8 14" xfId="2535"/>
    <cellStyle name="Обычный 3 7 8 15" xfId="2536"/>
    <cellStyle name="Обычный 3 7 8 16" xfId="2537"/>
    <cellStyle name="Обычный 3 7 8 2" xfId="2538"/>
    <cellStyle name="Обычный 3 7 8 3" xfId="2539"/>
    <cellStyle name="Обычный 3 7 8 4" xfId="2540"/>
    <cellStyle name="Обычный 3 7 8 5" xfId="2541"/>
    <cellStyle name="Обычный 3 7 8 6" xfId="2542"/>
    <cellStyle name="Обычный 3 7 8 7" xfId="2543"/>
    <cellStyle name="Обычный 3 7 8 8" xfId="2544"/>
    <cellStyle name="Обычный 3 7 8 9" xfId="2545"/>
    <cellStyle name="Обычный 3 7 9" xfId="2546"/>
    <cellStyle name="Обычный 3 8" xfId="2547"/>
    <cellStyle name="Обычный 3 8 10" xfId="2548"/>
    <cellStyle name="Обычный 3 8 11" xfId="2549"/>
    <cellStyle name="Обычный 3 8 12" xfId="2550"/>
    <cellStyle name="Обычный 3 8 13" xfId="2551"/>
    <cellStyle name="Обычный 3 8 14" xfId="2552"/>
    <cellStyle name="Обычный 3 8 15" xfId="2553"/>
    <cellStyle name="Обычный 3 8 16" xfId="2554"/>
    <cellStyle name="Обычный 3 8 2" xfId="2555"/>
    <cellStyle name="Обычный 3 8 3" xfId="2556"/>
    <cellStyle name="Обычный 3 8 4" xfId="2557"/>
    <cellStyle name="Обычный 3 8 5" xfId="2558"/>
    <cellStyle name="Обычный 3 8 6" xfId="2559"/>
    <cellStyle name="Обычный 3 8 7" xfId="2560"/>
    <cellStyle name="Обычный 3 8 8" xfId="2561"/>
    <cellStyle name="Обычный 3 8 9" xfId="2562"/>
    <cellStyle name="Обычный 3 9" xfId="2563"/>
    <cellStyle name="Обычный 3 9 10" xfId="2564"/>
    <cellStyle name="Обычный 3 9 11" xfId="2565"/>
    <cellStyle name="Обычный 3 9 12" xfId="2566"/>
    <cellStyle name="Обычный 3 9 13" xfId="2567"/>
    <cellStyle name="Обычный 3 9 14" xfId="2568"/>
    <cellStyle name="Обычный 3 9 15" xfId="2569"/>
    <cellStyle name="Обычный 3 9 16" xfId="2570"/>
    <cellStyle name="Обычный 3 9 2" xfId="2571"/>
    <cellStyle name="Обычный 3 9 3" xfId="2572"/>
    <cellStyle name="Обычный 3 9 4" xfId="2573"/>
    <cellStyle name="Обычный 3 9 5" xfId="2574"/>
    <cellStyle name="Обычный 3 9 6" xfId="2575"/>
    <cellStyle name="Обычный 3 9 7" xfId="2576"/>
    <cellStyle name="Обычный 3 9 8" xfId="2577"/>
    <cellStyle name="Обычный 3 9 9" xfId="2578"/>
    <cellStyle name="Обычный 3_Баланс2012_15.06.11" xfId="2579"/>
    <cellStyle name="Обычный 4" xfId="2580"/>
    <cellStyle name="Обычный 4 2" xfId="2581"/>
    <cellStyle name="Обычный 4 2 2" xfId="2582"/>
    <cellStyle name="Обычный 4 3" xfId="2583"/>
    <cellStyle name="Обычный 4 3 2" xfId="2584"/>
    <cellStyle name="Обычный 4_Баланс2012_15.06.11" xfId="2585"/>
    <cellStyle name="Обычный 5" xfId="2586"/>
    <cellStyle name="Обычный 5 2" xfId="2587"/>
    <cellStyle name="Обычный 5_Итоги тариф. кампании 2011_коррек" xfId="2588"/>
    <cellStyle name="Обычный 6" xfId="2589"/>
    <cellStyle name="Обычный 6 10" xfId="2590"/>
    <cellStyle name="Обычный 6 2" xfId="2591"/>
    <cellStyle name="Обычный 6 2 2" xfId="2592"/>
    <cellStyle name="Обычный 6 3" xfId="2593"/>
    <cellStyle name="Обычный 6 4" xfId="2594"/>
    <cellStyle name="Обычный 6 5" xfId="2595"/>
    <cellStyle name="Обычный 6 6" xfId="2596"/>
    <cellStyle name="Обычный 6 7" xfId="2597"/>
    <cellStyle name="Обычный 6 8" xfId="2598"/>
    <cellStyle name="Обычный 6 9" xfId="2599"/>
    <cellStyle name="Обычный 6_Итоги тариф. кампании 2011_коррек" xfId="2600"/>
    <cellStyle name="Обычный 7" xfId="2601"/>
    <cellStyle name="Обычный 7 2" xfId="2602"/>
    <cellStyle name="Обычный 7 2 2" xfId="2603"/>
    <cellStyle name="Обычный 7 3" xfId="2604"/>
    <cellStyle name="Обычный 7 4" xfId="2605"/>
    <cellStyle name="Обычный 7 5" xfId="2606"/>
    <cellStyle name="Обычный 7_Итоги тариф. кампании 2011_коррек" xfId="2607"/>
    <cellStyle name="Обычный 8" xfId="2608"/>
    <cellStyle name="Обычный 8 2" xfId="2609"/>
    <cellStyle name="Обычный 8 2 2" xfId="2610"/>
    <cellStyle name="Обычный 8 3" xfId="2611"/>
    <cellStyle name="Обычный 9" xfId="2612"/>
    <cellStyle name="Обычный 9 2" xfId="2613"/>
    <cellStyle name="Обычный 9 2 2" xfId="2614"/>
    <cellStyle name="Обычный 9 3" xfId="2615"/>
    <cellStyle name="Обычный_FORM3.1" xfId="2616"/>
    <cellStyle name="Обычный_methodics230802-pril1-3" xfId="2617"/>
    <cellStyle name="Обычный_Книга1" xfId="2618"/>
    <cellStyle name="Обычный_Лист1" xfId="2619"/>
    <cellStyle name="Обычный_Приложения 1-2" xfId="2620"/>
    <cellStyle name="Обычный_Расчёт арендной платы" xfId="2776"/>
    <cellStyle name="Обычный_Таблицы к методике ФЭК" xfId="2621"/>
    <cellStyle name="Обычный_Тариф коэффициентБио" xfId="2775"/>
    <cellStyle name="Обычный_тарифы на 2002г с 1-01" xfId="2622"/>
    <cellStyle name="Плохой 10" xfId="2623"/>
    <cellStyle name="Плохой 11" xfId="2624"/>
    <cellStyle name="Плохой 2" xfId="2625"/>
    <cellStyle name="Плохой 3" xfId="2626"/>
    <cellStyle name="Плохой 4" xfId="2627"/>
    <cellStyle name="Плохой 5" xfId="2628"/>
    <cellStyle name="Плохой 6" xfId="2629"/>
    <cellStyle name="Плохой 7" xfId="2630"/>
    <cellStyle name="Плохой 8" xfId="2631"/>
    <cellStyle name="Плохой 9" xfId="2632"/>
    <cellStyle name="По центру с переносом" xfId="2633"/>
    <cellStyle name="По центру с переносом 2" xfId="2634"/>
    <cellStyle name="По ширине с переносом" xfId="2635"/>
    <cellStyle name="По ширине с переносом 2" xfId="2636"/>
    <cellStyle name="Поле ввода" xfId="2637"/>
    <cellStyle name="Пояснение 10" xfId="2638"/>
    <cellStyle name="Пояснение 11" xfId="2639"/>
    <cellStyle name="Пояснение 2" xfId="2640"/>
    <cellStyle name="Пояснение 3" xfId="2641"/>
    <cellStyle name="Пояснение 4" xfId="2642"/>
    <cellStyle name="Пояснение 5" xfId="2643"/>
    <cellStyle name="Пояснение 6" xfId="2644"/>
    <cellStyle name="Пояснение 7" xfId="2645"/>
    <cellStyle name="Пояснение 8" xfId="2646"/>
    <cellStyle name="Пояснение 9" xfId="2647"/>
    <cellStyle name="Примечание 10" xfId="2648"/>
    <cellStyle name="Примечание 11" xfId="2649"/>
    <cellStyle name="Примечание 12" xfId="2650"/>
    <cellStyle name="Примечание 2" xfId="2651"/>
    <cellStyle name="Примечание 2 2" xfId="2652"/>
    <cellStyle name="Примечание 2 3" xfId="2653"/>
    <cellStyle name="Примечание 2 4" xfId="2654"/>
    <cellStyle name="Примечание 2 5" xfId="2655"/>
    <cellStyle name="Примечание 3" xfId="2656"/>
    <cellStyle name="Примечание 3 2" xfId="2657"/>
    <cellStyle name="Примечание 4" xfId="2658"/>
    <cellStyle name="Примечание 5" xfId="2659"/>
    <cellStyle name="Примечание 6" xfId="2660"/>
    <cellStyle name="Примечание 7" xfId="2661"/>
    <cellStyle name="Примечание 8" xfId="2662"/>
    <cellStyle name="Примечание 9" xfId="2663"/>
    <cellStyle name="Процентный" xfId="2664" builtinId="5"/>
    <cellStyle name="Процентный 10" xfId="2665"/>
    <cellStyle name="Процентный 11" xfId="2666"/>
    <cellStyle name="Процентный 2" xfId="2667"/>
    <cellStyle name="Процентный 2 2" xfId="2668"/>
    <cellStyle name="Процентный 2 2 2" xfId="2669"/>
    <cellStyle name="Процентный 2 2 2 2" xfId="2670"/>
    <cellStyle name="Процентный 2 2 3" xfId="2671"/>
    <cellStyle name="Процентный 2 3" xfId="2672"/>
    <cellStyle name="Процентный 2 3 2" xfId="2673"/>
    <cellStyle name="Процентный 2 4" xfId="2674"/>
    <cellStyle name="Процентный 2 4 2" xfId="2675"/>
    <cellStyle name="Процентный 2 4 2 2" xfId="2676"/>
    <cellStyle name="Процентный 2 4 3" xfId="2677"/>
    <cellStyle name="Процентный 2 5" xfId="2678"/>
    <cellStyle name="Процентный 2 5 2" xfId="2679"/>
    <cellStyle name="Процентный 2 6" xfId="2680"/>
    <cellStyle name="Процентный 2 7" xfId="2681"/>
    <cellStyle name="Процентный 3" xfId="2682"/>
    <cellStyle name="Процентный 3 2" xfId="2683"/>
    <cellStyle name="Процентный 3 3" xfId="2684"/>
    <cellStyle name="Процентный 4" xfId="2685"/>
    <cellStyle name="Процентный 4 2" xfId="2686"/>
    <cellStyle name="Процентный 5" xfId="2687"/>
    <cellStyle name="Процентный 6" xfId="2688"/>
    <cellStyle name="Процентный 6 2" xfId="2689"/>
    <cellStyle name="Процентный 7" xfId="2690"/>
    <cellStyle name="Процентный 8" xfId="2691"/>
    <cellStyle name="Процентный 9" xfId="2692"/>
    <cellStyle name="Процентный 9 2" xfId="2693"/>
    <cellStyle name="Связанная ячейка 10" xfId="2694"/>
    <cellStyle name="Связанная ячейка 11" xfId="2695"/>
    <cellStyle name="Связанная ячейка 2" xfId="2696"/>
    <cellStyle name="Связанная ячейка 3" xfId="2697"/>
    <cellStyle name="Связанная ячейка 4" xfId="2698"/>
    <cellStyle name="Связанная ячейка 5" xfId="2699"/>
    <cellStyle name="Связанная ячейка 6" xfId="2700"/>
    <cellStyle name="Связанная ячейка 7" xfId="2701"/>
    <cellStyle name="Связанная ячейка 8" xfId="2702"/>
    <cellStyle name="Связанная ячейка 9" xfId="2703"/>
    <cellStyle name="Стиль 1" xfId="2704"/>
    <cellStyle name="Стиль 1 2" xfId="2705"/>
    <cellStyle name="Стиль 1_AP RAB 36" xfId="2706"/>
    <cellStyle name="Стиль 2" xfId="2707"/>
    <cellStyle name="ТЕКСТ" xfId="2708"/>
    <cellStyle name="Текст предупреждения 10" xfId="2709"/>
    <cellStyle name="Текст предупреждения 11" xfId="2710"/>
    <cellStyle name="Текст предупреждения 2" xfId="2711"/>
    <cellStyle name="Текст предупреждения 3" xfId="2712"/>
    <cellStyle name="Текст предупреждения 4" xfId="2713"/>
    <cellStyle name="Текст предупреждения 5" xfId="2714"/>
    <cellStyle name="Текст предупреждения 6" xfId="2715"/>
    <cellStyle name="Текст предупреждения 7" xfId="2716"/>
    <cellStyle name="Текст предупреждения 8" xfId="2717"/>
    <cellStyle name="Текст предупреждения 9" xfId="2718"/>
    <cellStyle name="Текстовый" xfId="2719"/>
    <cellStyle name="Текстовый 2" xfId="2720"/>
    <cellStyle name="Тысячи [0]_1 (2)" xfId="2721"/>
    <cellStyle name="Тысячи_1F019502" xfId="2722"/>
    <cellStyle name="Финансовый 2" xfId="2723"/>
    <cellStyle name="Финансовый 2 10" xfId="2724"/>
    <cellStyle name="Финансовый 2 2" xfId="2725"/>
    <cellStyle name="Финансовый 2 2 2" xfId="2726"/>
    <cellStyle name="Финансовый 2 3" xfId="2727"/>
    <cellStyle name="Финансовый 2 3 2" xfId="2728"/>
    <cellStyle name="Финансовый 2_ТМ передача 31.03.2011 (Морд)" xfId="2729"/>
    <cellStyle name="Финансовый 22" xfId="2730"/>
    <cellStyle name="Финансовый 3" xfId="2731"/>
    <cellStyle name="Финансовый 3 2" xfId="2732"/>
    <cellStyle name="Финансовый 4" xfId="2733"/>
    <cellStyle name="Финансовый 4 2" xfId="2734"/>
    <cellStyle name="Финансовый 4 3" xfId="2735"/>
    <cellStyle name="Финансовый 4_ТМ передача 31.03.2011 (Морд)" xfId="2736"/>
    <cellStyle name="Финансовый 5" xfId="2737"/>
    <cellStyle name="Финансовый 5 2" xfId="2738"/>
    <cellStyle name="Финансовый 5 3" xfId="2739"/>
    <cellStyle name="Финансовый 6" xfId="2740"/>
    <cellStyle name="Финансовый 6 2" xfId="2741"/>
    <cellStyle name="Финансовый 6 3" xfId="2742"/>
    <cellStyle name="Финансовый 7" xfId="2743"/>
    <cellStyle name="Финансовый 7 2" xfId="2744"/>
    <cellStyle name="Финансовый 8" xfId="2745"/>
    <cellStyle name="Финансовый 8 2" xfId="2746"/>
    <cellStyle name="Финансовый 9" xfId="2747"/>
    <cellStyle name="Формула" xfId="2748"/>
    <cellStyle name="Формула 2" xfId="2749"/>
    <cellStyle name="Формула 3" xfId="2750"/>
    <cellStyle name="Формула 3 2" xfId="2751"/>
    <cellStyle name="Формула 4" xfId="2752"/>
    <cellStyle name="Формула_5" xfId="2753"/>
    <cellStyle name="ФормулаВБ" xfId="2754"/>
    <cellStyle name="ФормулаВБ 2" xfId="2755"/>
    <cellStyle name="ФормулаВБ_Книга1" xfId="2756"/>
    <cellStyle name="ФормулаНаКонтроль" xfId="2757"/>
    <cellStyle name="ФормулаНаКонтроль 2" xfId="2758"/>
    <cellStyle name="ФормулаНаКонтроль_GRES.2007.5" xfId="2759"/>
    <cellStyle name="Хороший 10" xfId="2760"/>
    <cellStyle name="Хороший 11" xfId="2761"/>
    <cellStyle name="Хороший 2" xfId="2762"/>
    <cellStyle name="Хороший 3" xfId="2763"/>
    <cellStyle name="Хороший 4" xfId="2764"/>
    <cellStyle name="Хороший 5" xfId="2765"/>
    <cellStyle name="Хороший 6" xfId="2766"/>
    <cellStyle name="Хороший 7" xfId="2767"/>
    <cellStyle name="Хороший 8" xfId="2768"/>
    <cellStyle name="Хороший 9" xfId="2769"/>
    <cellStyle name="Цифры по центру с десятыми" xfId="2770"/>
    <cellStyle name="Цифры по центру с десятыми 2" xfId="2771"/>
    <cellStyle name="Числовой" xfId="2772"/>
    <cellStyle name="Џђћ–…ќ’ќ›‰" xfId="2773"/>
    <cellStyle name="Шапка таблицы" xfId="2774"/>
  </cellStyles>
  <dxfs count="10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FF00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50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3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7.wmf"/><Relationship Id="rId5" Type="http://schemas.openxmlformats.org/officeDocument/2006/relationships/image" Target="../media/image6.wmf"/><Relationship Id="rId4" Type="http://schemas.openxmlformats.org/officeDocument/2006/relationships/image" Target="../media/image5.w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wmf"/><Relationship Id="rId3" Type="http://schemas.openxmlformats.org/officeDocument/2006/relationships/image" Target="../media/image10.wmf"/><Relationship Id="rId7" Type="http://schemas.openxmlformats.org/officeDocument/2006/relationships/image" Target="../media/image14.png"/><Relationship Id="rId2" Type="http://schemas.openxmlformats.org/officeDocument/2006/relationships/image" Target="../media/image9.wmf"/><Relationship Id="rId1" Type="http://schemas.openxmlformats.org/officeDocument/2006/relationships/image" Target="../media/image8.wmf"/><Relationship Id="rId6" Type="http://schemas.openxmlformats.org/officeDocument/2006/relationships/image" Target="../media/image13.wmf"/><Relationship Id="rId5" Type="http://schemas.openxmlformats.org/officeDocument/2006/relationships/image" Target="../media/image12.wmf"/><Relationship Id="rId4" Type="http://schemas.openxmlformats.org/officeDocument/2006/relationships/image" Target="../media/image1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42</xdr:row>
      <xdr:rowOff>964</xdr:rowOff>
    </xdr:from>
    <xdr:to>
      <xdr:col>4</xdr:col>
      <xdr:colOff>914400</xdr:colOff>
      <xdr:row>50</xdr:row>
      <xdr:rowOff>57149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16088689"/>
          <a:ext cx="2724150" cy="255173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5</xdr:row>
      <xdr:rowOff>228600</xdr:rowOff>
    </xdr:from>
    <xdr:to>
      <xdr:col>3</xdr:col>
      <xdr:colOff>0</xdr:colOff>
      <xdr:row>5</xdr:row>
      <xdr:rowOff>590550</xdr:rowOff>
    </xdr:to>
    <xdr:pic>
      <xdr:nvPicPr>
        <xdr:cNvPr id="15673" name="Picture 5">
          <a:extLst>
            <a:ext uri="{FF2B5EF4-FFF2-40B4-BE49-F238E27FC236}">
              <a16:creationId xmlns="" xmlns:a16="http://schemas.microsoft.com/office/drawing/2014/main" id="{00000000-0008-0000-1C00-000039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866900"/>
          <a:ext cx="6191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8</xdr:row>
      <xdr:rowOff>57150</xdr:rowOff>
    </xdr:from>
    <xdr:to>
      <xdr:col>2</xdr:col>
      <xdr:colOff>619125</xdr:colOff>
      <xdr:row>8</xdr:row>
      <xdr:rowOff>342900</xdr:rowOff>
    </xdr:to>
    <xdr:pic>
      <xdr:nvPicPr>
        <xdr:cNvPr id="15674" name="Picture 6">
          <a:extLst>
            <a:ext uri="{FF2B5EF4-FFF2-40B4-BE49-F238E27FC236}">
              <a16:creationId xmlns="" xmlns:a16="http://schemas.microsoft.com/office/drawing/2014/main" id="{00000000-0008-0000-1C00-00003A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771775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41</xdr:row>
      <xdr:rowOff>342900</xdr:rowOff>
    </xdr:from>
    <xdr:to>
      <xdr:col>3</xdr:col>
      <xdr:colOff>28575</xdr:colOff>
      <xdr:row>41</xdr:row>
      <xdr:rowOff>581025</xdr:rowOff>
    </xdr:to>
    <xdr:pic>
      <xdr:nvPicPr>
        <xdr:cNvPr id="15675" name="Picture 16">
          <a:extLst>
            <a:ext uri="{FF2B5EF4-FFF2-40B4-BE49-F238E27FC236}">
              <a16:creationId xmlns="" xmlns:a16="http://schemas.microsoft.com/office/drawing/2014/main" id="{00000000-0008-0000-1C00-00003B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03155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3200400</xdr:colOff>
      <xdr:row>8</xdr:row>
      <xdr:rowOff>409575</xdr:rowOff>
    </xdr:from>
    <xdr:to>
      <xdr:col>2</xdr:col>
      <xdr:colOff>723900</xdr:colOff>
      <xdr:row>8</xdr:row>
      <xdr:rowOff>676275</xdr:rowOff>
    </xdr:to>
    <xdr:pic>
      <xdr:nvPicPr>
        <xdr:cNvPr id="15676" name="Picture 33">
          <a:extLst>
            <a:ext uri="{FF2B5EF4-FFF2-40B4-BE49-F238E27FC236}">
              <a16:creationId xmlns="" xmlns:a16="http://schemas.microsoft.com/office/drawing/2014/main" id="{00000000-0008-0000-1C00-00003C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3124200"/>
          <a:ext cx="771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3228975</xdr:colOff>
      <xdr:row>9</xdr:row>
      <xdr:rowOff>85725</xdr:rowOff>
    </xdr:from>
    <xdr:to>
      <xdr:col>2</xdr:col>
      <xdr:colOff>666750</xdr:colOff>
      <xdr:row>10</xdr:row>
      <xdr:rowOff>38100</xdr:rowOff>
    </xdr:to>
    <xdr:pic>
      <xdr:nvPicPr>
        <xdr:cNvPr id="15677" name="Picture 34">
          <a:extLst>
            <a:ext uri="{FF2B5EF4-FFF2-40B4-BE49-F238E27FC236}">
              <a16:creationId xmlns="" xmlns:a16="http://schemas.microsoft.com/office/drawing/2014/main" id="{00000000-0008-0000-1C00-00003D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3714750"/>
          <a:ext cx="685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10</xdr:row>
      <xdr:rowOff>285750</xdr:rowOff>
    </xdr:from>
    <xdr:to>
      <xdr:col>2</xdr:col>
      <xdr:colOff>771525</xdr:colOff>
      <xdr:row>10</xdr:row>
      <xdr:rowOff>685800</xdr:rowOff>
    </xdr:to>
    <xdr:pic>
      <xdr:nvPicPr>
        <xdr:cNvPr id="15678" name="Picture 57">
          <a:extLst>
            <a:ext uri="{FF2B5EF4-FFF2-40B4-BE49-F238E27FC236}">
              <a16:creationId xmlns="" xmlns:a16="http://schemas.microsoft.com/office/drawing/2014/main" id="{00000000-0008-0000-1C00-00003E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4286250"/>
          <a:ext cx="6667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4</xdr:row>
      <xdr:rowOff>38100</xdr:rowOff>
    </xdr:from>
    <xdr:to>
      <xdr:col>2</xdr:col>
      <xdr:colOff>647700</xdr:colOff>
      <xdr:row>4</xdr:row>
      <xdr:rowOff>266700</xdr:rowOff>
    </xdr:to>
    <xdr:sp macro="" textlink="">
      <xdr:nvSpPr>
        <xdr:cNvPr id="16853" name="AutoShape 921">
          <a:extLst>
            <a:ext uri="{FF2B5EF4-FFF2-40B4-BE49-F238E27FC236}">
              <a16:creationId xmlns="" xmlns:a16="http://schemas.microsoft.com/office/drawing/2014/main" id="{00000000-0008-0000-1D00-0000D5410000}"/>
            </a:ext>
          </a:extLst>
        </xdr:cNvPr>
        <xdr:cNvSpPr>
          <a:spLocks noChangeAspect="1" noChangeArrowheads="1"/>
        </xdr:cNvSpPr>
      </xdr:nvSpPr>
      <xdr:spPr bwMode="auto">
        <a:xfrm>
          <a:off x="3552825" y="1581150"/>
          <a:ext cx="3333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16</xdr:row>
      <xdr:rowOff>133350</xdr:rowOff>
    </xdr:from>
    <xdr:to>
      <xdr:col>2</xdr:col>
      <xdr:colOff>533400</xdr:colOff>
      <xdr:row>16</xdr:row>
      <xdr:rowOff>361950</xdr:rowOff>
    </xdr:to>
    <xdr:pic>
      <xdr:nvPicPr>
        <xdr:cNvPr id="16854" name="Picture 1">
          <a:extLst>
            <a:ext uri="{FF2B5EF4-FFF2-40B4-BE49-F238E27FC236}">
              <a16:creationId xmlns="" xmlns:a16="http://schemas.microsoft.com/office/drawing/2014/main" id="{00000000-0008-0000-1D00-0000D6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5257800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17</xdr:row>
      <xdr:rowOff>47625</xdr:rowOff>
    </xdr:from>
    <xdr:to>
      <xdr:col>2</xdr:col>
      <xdr:colOff>628650</xdr:colOff>
      <xdr:row>17</xdr:row>
      <xdr:rowOff>276225</xdr:rowOff>
    </xdr:to>
    <xdr:pic>
      <xdr:nvPicPr>
        <xdr:cNvPr id="16855" name="Picture 4">
          <a:extLst>
            <a:ext uri="{FF2B5EF4-FFF2-40B4-BE49-F238E27FC236}">
              <a16:creationId xmlns="" xmlns:a16="http://schemas.microsoft.com/office/drawing/2014/main" id="{00000000-0008-0000-1D00-0000D7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5657850"/>
          <a:ext cx="295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3</xdr:row>
      <xdr:rowOff>47625</xdr:rowOff>
    </xdr:from>
    <xdr:to>
      <xdr:col>2</xdr:col>
      <xdr:colOff>533400</xdr:colOff>
      <xdr:row>3</xdr:row>
      <xdr:rowOff>276225</xdr:rowOff>
    </xdr:to>
    <xdr:pic>
      <xdr:nvPicPr>
        <xdr:cNvPr id="16856" name="Picture 8">
          <a:extLst>
            <a:ext uri="{FF2B5EF4-FFF2-40B4-BE49-F238E27FC236}">
              <a16:creationId xmlns="" xmlns:a16="http://schemas.microsoft.com/office/drawing/2014/main" id="{00000000-0008-0000-1D00-0000D8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1266825"/>
          <a:ext cx="295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5</xdr:row>
      <xdr:rowOff>28575</xdr:rowOff>
    </xdr:from>
    <xdr:to>
      <xdr:col>2</xdr:col>
      <xdr:colOff>581025</xdr:colOff>
      <xdr:row>5</xdr:row>
      <xdr:rowOff>257175</xdr:rowOff>
    </xdr:to>
    <xdr:pic>
      <xdr:nvPicPr>
        <xdr:cNvPr id="16857" name="Picture 17">
          <a:extLst>
            <a:ext uri="{FF2B5EF4-FFF2-40B4-BE49-F238E27FC236}">
              <a16:creationId xmlns="" xmlns:a16="http://schemas.microsoft.com/office/drawing/2014/main" id="{00000000-0008-0000-1D00-0000D9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2057400"/>
          <a:ext cx="2571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6</xdr:row>
      <xdr:rowOff>19050</xdr:rowOff>
    </xdr:from>
    <xdr:to>
      <xdr:col>2</xdr:col>
      <xdr:colOff>752475</xdr:colOff>
      <xdr:row>7</xdr:row>
      <xdr:rowOff>0</xdr:rowOff>
    </xdr:to>
    <xdr:pic>
      <xdr:nvPicPr>
        <xdr:cNvPr id="16858" name="Picture 19">
          <a:extLst>
            <a:ext uri="{FF2B5EF4-FFF2-40B4-BE49-F238E27FC236}">
              <a16:creationId xmlns="" xmlns:a16="http://schemas.microsoft.com/office/drawing/2014/main" id="{00000000-0008-0000-1D00-0000DA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33650"/>
          <a:ext cx="4191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247650</xdr:colOff>
      <xdr:row>7</xdr:row>
      <xdr:rowOff>104775</xdr:rowOff>
    </xdr:from>
    <xdr:to>
      <xdr:col>2</xdr:col>
      <xdr:colOff>657225</xdr:colOff>
      <xdr:row>7</xdr:row>
      <xdr:rowOff>333375</xdr:rowOff>
    </xdr:to>
    <xdr:pic>
      <xdr:nvPicPr>
        <xdr:cNvPr id="16859" name="Picture 20">
          <a:extLst>
            <a:ext uri="{FF2B5EF4-FFF2-40B4-BE49-F238E27FC236}">
              <a16:creationId xmlns="" xmlns:a16="http://schemas.microsoft.com/office/drawing/2014/main" id="{00000000-0008-0000-1D00-0000DB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2886075"/>
          <a:ext cx="409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8</xdr:row>
      <xdr:rowOff>76200</xdr:rowOff>
    </xdr:from>
    <xdr:to>
      <xdr:col>2</xdr:col>
      <xdr:colOff>723900</xdr:colOff>
      <xdr:row>8</xdr:row>
      <xdr:rowOff>276225</xdr:rowOff>
    </xdr:to>
    <xdr:pic>
      <xdr:nvPicPr>
        <xdr:cNvPr id="16860" name="Picture 33">
          <a:extLst>
            <a:ext uri="{FF2B5EF4-FFF2-40B4-BE49-F238E27FC236}">
              <a16:creationId xmlns="" xmlns:a16="http://schemas.microsoft.com/office/drawing/2014/main" id="{00000000-0008-0000-1D00-0000DC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3343275"/>
          <a:ext cx="447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4</xdr:row>
      <xdr:rowOff>19050</xdr:rowOff>
    </xdr:from>
    <xdr:to>
      <xdr:col>2</xdr:col>
      <xdr:colOff>561975</xdr:colOff>
      <xdr:row>4</xdr:row>
      <xdr:rowOff>247650</xdr:rowOff>
    </xdr:to>
    <xdr:pic>
      <xdr:nvPicPr>
        <xdr:cNvPr id="16861" name="Рисунок 10">
          <a:extLst>
            <a:ext uri="{FF2B5EF4-FFF2-40B4-BE49-F238E27FC236}">
              <a16:creationId xmlns="" xmlns:a16="http://schemas.microsoft.com/office/drawing/2014/main" id="{00000000-0008-0000-1D00-0000DD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1562100"/>
          <a:ext cx="2857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9;&#1100;&#1082;&#1080;&#1085;/_&#1069;&#1051;&#1045;&#1050;&#1058;&#1056;&#1048;&#1050;&#1040;/&#1056;&#1077;&#1075;&#1091;&#1083;&#1080;&#1088;&#1086;&#1074;&#1072;&#1085;&#1080;&#1077;-2012/&#1050;&#1086;&#1090;&#1077;&#1083;%202012/_&#1055;&#1077;&#1088;&#1077;&#1089;&#1084;&#1086;&#1090;&#1088;%20&#1076;&#1086;%201%20&#1072;&#1087;&#1088;&#1077;&#1083;&#1103;%202012%20&#1089;%2001%20&#1080;&#1102;&#1085;&#1103;%202012/&#1042;%20&#1060;&#1057;&#1058;%2025052012/PREDEL.PEREDACHA.2012(v2.2)%202012-2017_26.05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iblioteka/&#1052;&#1054;&#1053;&#1048;&#1058;&#1054;&#1056;&#1048;&#1053;&#1043;&#1048;%20&#1060;&#1057;&#1058;/2012/&#1052;&#1086;&#1085;&#1080;&#1090;&#1086;&#1088;&#1080;&#1085;&#1075;%20&#1090;&#1072;&#1088;&#1080;&#1092;&#1086;&#1074;%20&#1085;&#1072;%20&#1087;&#1077;&#1088;&#1077;&#1076;&#1072;&#1095;&#1091;%20&#1101;&#1101;%202012%20&#1076;&#1086;%2020%20&#1085;&#1086;&#1103;&#1073;&#1088;&#1103;%202012/&#1054;&#1090;&#1087;&#1088;&#1072;&#1074;&#1083;&#1077;&#1085;&#1086;%20&#1074;%20&#1060;&#1057;&#1058;/PREDEL.PEREDACHA.ITOG2012(v1.1)%202611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8;&#1084;&#1091;&#1097;&#1077;&#1089;&#1090;&#1074;&#1086;%202019/&#1058;&#1055;%20&#1057;&#1045;&#1058;&#1048;%20&#1048;&#1085;&#1092;&#1086;&#1088;&#1084;/&#1042;&#1083;&#1072;&#1076;&#1084;&#1080;&#1084;&#1080;&#1088;/_pso_elektronnyj_format_na_2014_god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USERS\5%20&#1058;&#1045;&#1055;&#1051;&#1054;&#1042;&#1040;&#1071;%20&#1069;&#1053;&#1045;&#1056;&#1043;&#1048;&#1071;\&#1069;&#1082;&#1089;&#1087;&#1077;&#1088;&#1090;&#1080;&#1079;&#1072;%202007\&#1090;&#1072;&#1073;&#1083;&#1080;&#1094;&#1072;%20&#1092;&#1089;&#109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69;&#1051;&#1045;&#1050;&#1058;&#1056;&#1048;&#1050;&#1040;/&#1056;&#1045;&#1043;&#1059;&#1051;&#1048;&#1056;&#1054;&#1042;&#1040;&#1053;&#1048;&#1045;%20&#1052;&#1059;&#1055;/&#1057;&#1045;&#1058;&#1045;&#1042;&#1067;&#1045;%20&#1052;&#1059;&#1055;%202020/&#1056;&#1072;&#1089;&#1095;&#1077;&#1090;%20&#1056;&#1069;&#1050;/&#1043;&#1091;&#1089;&#1100;/&#1083;&#1080;&#1085;&#1080;&#108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8;&#1084;&#1091;&#1097;&#1077;&#1089;&#1090;&#1074;&#1086;%202019/&#1058;&#1055;%20&#1057;&#1045;&#1058;&#1048;%20&#1048;&#1085;&#1092;&#1086;&#1088;&#1084;/&#1051;&#1045;&#1055;%20&#1080;&#1058;&#1055;/&#1056;&#1077;&#1077;&#1089;&#1090;&#1088;%2017.04.20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wnloads\&#1056;&#1072;&#1089;&#1095;&#1077;&#1090;&#1085;&#1099;&#1081;%20&#1084;&#1086;&#1076;&#1091;&#1083;&#1100;%20&#1084;&#1086;&#1081;_2015-2019_&#1043;&#1091;&#1089;&#110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69;&#1051;&#1045;&#1050;&#1058;&#1056;&#1048;&#1050;&#1040;/&#1056;&#1045;&#1043;&#1059;&#1051;&#1048;&#1056;&#1054;&#1042;&#1040;&#1053;&#1048;&#1045;%20&#1052;&#1059;&#1055;/&#1057;&#1045;&#1058;&#1045;&#1042;&#1067;&#1045;%20&#1052;&#1059;&#1055;%202020/&#1056;&#1072;&#1089;&#1095;&#1077;&#1090;%20&#1056;&#1069;&#1050;/&#1043;&#1091;&#1089;&#1100;/+&#1105;%20&#1090;%20&#166;L&#166;L%20%20&#1096;&#1095;&#1101;&#1102;&#1105;%202019%20&#1091;.T+TL%20L%20T&#166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2.0.15\Biblioteka\&#1056;&#1077;&#1075;&#1091;&#1083;&#1080;&#1088;&#1086;&#1074;&#1072;&#1085;&#1080;&#1077;%202021\&#1041;&#1072;&#1083;&#1072;&#1085;&#1089;%20&#1085;&#1072;%202021\4%20&#1042;%20&#1060;&#1040;&#1057;%20&#1076;&#1086;%2001.09.20%20&#1092;&#1086;&#1088;&#1084;&#1072;%203.1,910\FORM3.1.2021.SUMMARY(v1.1)280820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wnloads\&#1050;&#1085;&#1080;&#1075;&#1072;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8;&#1084;&#1091;&#1097;&#1077;&#1089;&#1090;&#1074;&#1086;%202019/&#1058;&#1055;%20&#1057;&#1045;&#1058;&#1048;%20&#1048;&#1085;&#1092;&#1086;&#1088;&#1084;/&#1056;&#1072;&#1089;&#1095;&#1077;&#1090;&#1085;&#1099;&#1081;%20&#1084;&#1086;&#1076;&#1091;&#1083;&#1100;%20&#1084;&#1086;&#1081;_2015-2019_&#1043;&#1091;&#1089;&#1100;%20&#1089;%20&#1042;&#105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КОММЕНТАРИИ2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modProv"/>
      <sheetName val="modChange"/>
      <sheetName val="Расчет НВВ РСК - индексация"/>
      <sheetName val="Проверка"/>
      <sheetName val="Комментарии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>
        <row r="8">
          <cell r="F8" t="str">
            <v>Рязанская область</v>
          </cell>
        </row>
      </sheetData>
      <sheetData sheetId="5">
        <row r="9">
          <cell r="E9" t="str">
            <v>ОАО "МРСК Центра и Приволжья" филиал "Рязаньэнерго"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modProv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1"/>
      <sheetName val="P2.2 У.Е. 2011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1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-2014"/>
      <sheetName val="Расчет котловых тарифов"/>
      <sheetName val="Расчет НВ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 РСК - индексация"/>
      <sheetName val="Индивидуальные тарифы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8"/>
      <sheetName val="modLis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A1" t="str">
            <v>Алтайский край</v>
          </cell>
        </row>
        <row r="2">
          <cell r="A2" t="str">
            <v>Амурская область</v>
          </cell>
          <cell r="K2" t="str">
            <v>да</v>
          </cell>
          <cell r="N2" t="str">
            <v>2009-2017</v>
          </cell>
        </row>
        <row r="3">
          <cell r="A3" t="str">
            <v>Архангельская область</v>
          </cell>
          <cell r="K3" t="str">
            <v>нет</v>
          </cell>
          <cell r="N3" t="str">
            <v>2010-2017</v>
          </cell>
        </row>
        <row r="4">
          <cell r="A4" t="str">
            <v>Астраханская область</v>
          </cell>
          <cell r="N4" t="str">
            <v>2011-2017</v>
          </cell>
        </row>
        <row r="5">
          <cell r="A5" t="str">
            <v>Белгородская область</v>
          </cell>
          <cell r="N5" t="str">
            <v>2012-2017</v>
          </cell>
        </row>
        <row r="6">
          <cell r="A6" t="str">
            <v>Брянская область</v>
          </cell>
          <cell r="N6" t="str">
            <v>2013-2017</v>
          </cell>
        </row>
        <row r="7">
          <cell r="A7" t="str">
            <v>Владимирская область</v>
          </cell>
        </row>
        <row r="8">
          <cell r="A8" t="str">
            <v>Волгоградская область</v>
          </cell>
        </row>
        <row r="9">
          <cell r="A9" t="str">
            <v>Вологодская область</v>
          </cell>
        </row>
        <row r="10">
          <cell r="A10" t="str">
            <v>Воронежская область</v>
          </cell>
        </row>
        <row r="11">
          <cell r="A11" t="str">
            <v>г.Байконур</v>
          </cell>
        </row>
        <row r="12">
          <cell r="A12" t="str">
            <v>г. Москва</v>
          </cell>
        </row>
        <row r="13">
          <cell r="A13" t="str">
            <v>г.Санкт-Петербург</v>
          </cell>
        </row>
        <row r="14">
          <cell r="A14" t="str">
            <v>Еврейская автономная область</v>
          </cell>
        </row>
        <row r="15">
          <cell r="A15" t="str">
            <v>Забайкальский край</v>
          </cell>
        </row>
        <row r="16">
          <cell r="A16" t="str">
            <v>Ивановская область</v>
          </cell>
        </row>
        <row r="17">
          <cell r="A17" t="str">
            <v>Иркутская область</v>
          </cell>
        </row>
        <row r="18">
          <cell r="A18" t="str">
            <v>Кабардино-Балкарская республика</v>
          </cell>
        </row>
        <row r="19">
          <cell r="A19" t="str">
            <v>Калининградская область</v>
          </cell>
        </row>
        <row r="20">
          <cell r="A20" t="str">
            <v>Калужская область</v>
          </cell>
        </row>
        <row r="21">
          <cell r="A21" t="str">
            <v>Камчатский край</v>
          </cell>
        </row>
        <row r="22">
          <cell r="A22" t="str">
            <v>Карачаево-Черкесская республика</v>
          </cell>
        </row>
        <row r="23">
          <cell r="A23" t="str">
            <v>Кемеровская область</v>
          </cell>
        </row>
        <row r="24">
          <cell r="A24" t="str">
            <v>Кировская область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Саратовская область</v>
          </cell>
        </row>
        <row r="66">
          <cell r="A66" t="str">
            <v>Сахалинская область</v>
          </cell>
        </row>
        <row r="67">
          <cell r="A67" t="str">
            <v>Свердловская область</v>
          </cell>
        </row>
        <row r="68">
          <cell r="A68" t="str">
            <v>Смоленская область</v>
          </cell>
        </row>
        <row r="69">
          <cell r="A69" t="str">
            <v>Ставропольский край</v>
          </cell>
        </row>
        <row r="70">
          <cell r="A70" t="str">
            <v>Тамбовская область</v>
          </cell>
        </row>
        <row r="71">
          <cell r="A71" t="str">
            <v>Тверская область</v>
          </cell>
        </row>
        <row r="72">
          <cell r="A72" t="str">
            <v>Томская область</v>
          </cell>
        </row>
        <row r="73">
          <cell r="A73" t="str">
            <v>Тульская область</v>
          </cell>
        </row>
        <row r="74">
          <cell r="A74" t="str">
            <v>Тюменская область</v>
          </cell>
        </row>
        <row r="75">
          <cell r="A75" t="str">
            <v>Удмуртская республика</v>
          </cell>
        </row>
        <row r="76">
          <cell r="A76" t="str">
            <v>Ульяновская область</v>
          </cell>
        </row>
        <row r="77">
          <cell r="A77" t="str">
            <v>Хабаровский край</v>
          </cell>
        </row>
        <row r="78">
          <cell r="A78" t="str">
            <v>Ханты-Мансийский автономный округ</v>
          </cell>
        </row>
        <row r="79">
          <cell r="A79" t="str">
            <v>Челябинская область</v>
          </cell>
        </row>
        <row r="80">
          <cell r="A80" t="str">
            <v>Чеченская республика</v>
          </cell>
        </row>
        <row r="81">
          <cell r="A81" t="str">
            <v>Чувашская республика</v>
          </cell>
        </row>
        <row r="82">
          <cell r="A82" t="str">
            <v>Чукотский автономный округ</v>
          </cell>
        </row>
        <row r="83">
          <cell r="A83" t="str">
            <v>Ямало-Ненецкий автономный округ</v>
          </cell>
        </row>
        <row r="84">
          <cell r="A84" t="str">
            <v>Ярославская область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Анкета"/>
      <sheetName val="Баланс энергии"/>
      <sheetName val="Баланс энергии (транзит)"/>
      <sheetName val="Баланс мощности"/>
      <sheetName val="УЕ ВЛЭП 2011-2014"/>
      <sheetName val="УЕ ТП 2011-2014"/>
      <sheetName val="Ввод выбытие ОС"/>
      <sheetName val="Расчет амортизации"/>
      <sheetName val="Амортизация по уровням напр-я"/>
      <sheetName val="Свод по амортизации"/>
      <sheetName val="Очисления на соц. нужды"/>
      <sheetName val="Сод.зданий и помещений"/>
      <sheetName val="Плата за землю"/>
      <sheetName val="Транспортный налог"/>
      <sheetName val="Налог на имущество"/>
      <sheetName val="Негативное воздействие на ОС"/>
      <sheetName val="Налог на прибыль"/>
      <sheetName val="Аренда имущества"/>
      <sheetName val="Услуги ФСК"/>
      <sheetName val="Прочие НР"/>
      <sheetName val=" КВЛ 2012-2014 "/>
      <sheetName val="Выпадающий доход"/>
      <sheetName val="Результаты деятельности орг-ии"/>
      <sheetName val="Корр. НР"/>
      <sheetName val="Корр. ПО"/>
      <sheetName val="Корр. ИП"/>
      <sheetName val="Корр. КНК"/>
      <sheetName val="НВВ на потери"/>
      <sheetName val="Подконтрольные расходы"/>
      <sheetName val="Долгосрочные параметры рег-я"/>
      <sheetName val="Смета общее НВВ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7">
          <cell r="B7" t="str">
            <v>x</v>
          </cell>
          <cell r="D7" t="str">
            <v>x</v>
          </cell>
        </row>
        <row r="10">
          <cell r="A10" t="str">
            <v>договор № ___ от ____</v>
          </cell>
          <cell r="B10" t="str">
            <v>x</v>
          </cell>
          <cell r="D10" t="str">
            <v>x</v>
          </cell>
        </row>
        <row r="11">
          <cell r="A11" t="str">
            <v>договор № ___ от ____</v>
          </cell>
          <cell r="B11" t="str">
            <v>x</v>
          </cell>
          <cell r="D11" t="str">
            <v>x</v>
          </cell>
        </row>
        <row r="12">
          <cell r="A12" t="str">
            <v>договор № ___ от ____</v>
          </cell>
          <cell r="B12" t="str">
            <v>x</v>
          </cell>
          <cell r="D12" t="str">
            <v>x</v>
          </cell>
        </row>
        <row r="13">
          <cell r="A13" t="str">
            <v>договор № ___ от ____</v>
          </cell>
          <cell r="B13" t="str">
            <v>x</v>
          </cell>
          <cell r="D13" t="str">
            <v>x</v>
          </cell>
        </row>
      </sheetData>
      <sheetData sheetId="13" refreshError="1">
        <row r="15">
          <cell r="A15" t="str">
            <v>Добавить</v>
          </cell>
        </row>
        <row r="16">
          <cell r="A16" t="str">
            <v>Всего транспортный налог:</v>
          </cell>
          <cell r="B16" t="str">
            <v>х</v>
          </cell>
          <cell r="C16" t="str">
            <v>х</v>
          </cell>
          <cell r="E16" t="str">
            <v>х</v>
          </cell>
        </row>
      </sheetData>
      <sheetData sheetId="14" refreshError="1">
        <row r="12">
          <cell r="B12" t="str">
            <v>x</v>
          </cell>
          <cell r="D12" t="str">
            <v>x</v>
          </cell>
        </row>
        <row r="13">
          <cell r="B13" t="str">
            <v>x</v>
          </cell>
          <cell r="D13" t="str">
            <v>x</v>
          </cell>
        </row>
        <row r="14">
          <cell r="B14" t="str">
            <v>x</v>
          </cell>
          <cell r="D14" t="str">
            <v>x</v>
          </cell>
        </row>
        <row r="15">
          <cell r="B15" t="str">
            <v>x</v>
          </cell>
          <cell r="D15" t="str">
            <v>x</v>
          </cell>
        </row>
        <row r="16">
          <cell r="B16" t="str">
            <v>x</v>
          </cell>
          <cell r="C16">
            <v>0</v>
          </cell>
          <cell r="D16" t="str">
            <v>x</v>
          </cell>
          <cell r="E16">
            <v>0</v>
          </cell>
        </row>
      </sheetData>
      <sheetData sheetId="15" refreshError="1"/>
      <sheetData sheetId="16" refreshError="1"/>
      <sheetData sheetId="17" refreshError="1">
        <row r="8">
          <cell r="A8" t="str">
            <v xml:space="preserve">договор  с _____ от_____№  __ </v>
          </cell>
          <cell r="B8" t="str">
            <v>x</v>
          </cell>
          <cell r="D8" t="str">
            <v>x</v>
          </cell>
        </row>
        <row r="9">
          <cell r="A9" t="str">
            <v xml:space="preserve">договор  с _____ от_____№  __ </v>
          </cell>
          <cell r="B9" t="str">
            <v>x</v>
          </cell>
          <cell r="D9" t="str">
            <v>x</v>
          </cell>
        </row>
        <row r="10">
          <cell r="A10" t="str">
            <v xml:space="preserve">договор  с _____ от_____№  __ </v>
          </cell>
          <cell r="B10" t="str">
            <v>x</v>
          </cell>
          <cell r="D10" t="str">
            <v>x</v>
          </cell>
        </row>
        <row r="11">
          <cell r="A11" t="str">
            <v xml:space="preserve">договор  с _____ от_____№  __ </v>
          </cell>
          <cell r="B11" t="str">
            <v>x</v>
          </cell>
          <cell r="D11" t="str">
            <v>x</v>
          </cell>
        </row>
        <row r="12">
          <cell r="A12" t="str">
            <v xml:space="preserve">договор  с _____ от_____№  __ </v>
          </cell>
          <cell r="B12" t="str">
            <v>x</v>
          </cell>
          <cell r="D12" t="str">
            <v>x</v>
          </cell>
        </row>
        <row r="13">
          <cell r="A13" t="str">
            <v xml:space="preserve">договор  с _____ от_____№  __ </v>
          </cell>
          <cell r="B13" t="str">
            <v>x</v>
          </cell>
          <cell r="D13" t="str">
            <v>x</v>
          </cell>
        </row>
        <row r="23">
          <cell r="A23" t="str">
            <v xml:space="preserve">договор  с _____ от_____№  __ </v>
          </cell>
          <cell r="B23" t="str">
            <v>x</v>
          </cell>
          <cell r="D23" t="str">
            <v>x</v>
          </cell>
        </row>
        <row r="24">
          <cell r="A24" t="str">
            <v xml:space="preserve">договор  с _____ от_____№  __ </v>
          </cell>
          <cell r="B24" t="str">
            <v>x</v>
          </cell>
          <cell r="D24" t="str">
            <v>x</v>
          </cell>
        </row>
        <row r="25">
          <cell r="A25" t="str">
            <v xml:space="preserve">договор  с _____ от_____№  __ </v>
          </cell>
          <cell r="B25" t="str">
            <v>x</v>
          </cell>
          <cell r="D25" t="str">
            <v>x</v>
          </cell>
        </row>
        <row r="26">
          <cell r="A26" t="str">
            <v xml:space="preserve">договор  с _____ от_____№  __ </v>
          </cell>
          <cell r="B26" t="str">
            <v>x</v>
          </cell>
          <cell r="D26" t="str">
            <v>x</v>
          </cell>
        </row>
        <row r="27">
          <cell r="A27" t="str">
            <v xml:space="preserve">договор  с _____ от_____№  __ </v>
          </cell>
          <cell r="B27" t="str">
            <v>x</v>
          </cell>
          <cell r="D27" t="str">
            <v>x</v>
          </cell>
        </row>
        <row r="30">
          <cell r="A30" t="str">
            <v xml:space="preserve">объектов электросетевого хозяйства договор  с _____ от_____№  __ </v>
          </cell>
          <cell r="B30" t="str">
            <v>x</v>
          </cell>
          <cell r="D30" t="str">
            <v>x</v>
          </cell>
        </row>
        <row r="31">
          <cell r="A31" t="str">
            <v xml:space="preserve">иного имущества договор  с _____ от_____№  __ </v>
          </cell>
          <cell r="B31" t="str">
            <v>x</v>
          </cell>
          <cell r="D31" t="str">
            <v>x</v>
          </cell>
        </row>
        <row r="32">
          <cell r="A32" t="str">
            <v xml:space="preserve">договор  с _____ от_____№  __ </v>
          </cell>
          <cell r="B32" t="str">
            <v>x</v>
          </cell>
          <cell r="D32" t="str">
            <v>x</v>
          </cell>
        </row>
        <row r="33">
          <cell r="A33" t="str">
            <v xml:space="preserve">договор  с _____ от_____№  __ </v>
          </cell>
          <cell r="B33" t="str">
            <v>x</v>
          </cell>
          <cell r="D33" t="str">
            <v>x</v>
          </cell>
        </row>
      </sheetData>
      <sheetData sheetId="18" refreshError="1"/>
      <sheetData sheetId="19" refreshError="1">
        <row r="7">
          <cell r="A7" t="str">
            <v>введите название</v>
          </cell>
        </row>
      </sheetData>
      <sheetData sheetId="20" refreshError="1">
        <row r="2">
          <cell r="A2" t="str">
            <v xml:space="preserve">                            Расходы на капитальные вложения на 2012 - 2014 годы</v>
          </cell>
        </row>
        <row r="8">
          <cell r="A8" t="str">
            <v>Введите название</v>
          </cell>
        </row>
        <row r="9">
          <cell r="A9" t="str">
            <v>Введите название</v>
          </cell>
        </row>
        <row r="10">
          <cell r="A10" t="str">
            <v>Введите название</v>
          </cell>
        </row>
        <row r="11">
          <cell r="A11" t="str">
            <v>Введите название</v>
          </cell>
        </row>
        <row r="12">
          <cell r="A12" t="str">
            <v>Введите название</v>
          </cell>
        </row>
        <row r="15">
          <cell r="A15" t="str">
            <v>Введите название</v>
          </cell>
        </row>
        <row r="16">
          <cell r="A16" t="str">
            <v>Введите название</v>
          </cell>
        </row>
        <row r="17">
          <cell r="A17" t="str">
            <v>Введите название</v>
          </cell>
        </row>
        <row r="18">
          <cell r="A18" t="str">
            <v>Введите название</v>
          </cell>
        </row>
        <row r="19">
          <cell r="A19" t="str">
            <v>Введите название</v>
          </cell>
        </row>
        <row r="22">
          <cell r="A22" t="str">
            <v>Введите название</v>
          </cell>
        </row>
        <row r="23">
          <cell r="A23" t="str">
            <v>Введите название</v>
          </cell>
        </row>
        <row r="24">
          <cell r="A24" t="str">
            <v>Введите название</v>
          </cell>
        </row>
        <row r="25">
          <cell r="A25" t="str">
            <v>Введите название</v>
          </cell>
        </row>
        <row r="28">
          <cell r="A28" t="str">
            <v>Введите название</v>
          </cell>
        </row>
        <row r="29">
          <cell r="A29" t="str">
            <v>Введите название</v>
          </cell>
        </row>
        <row r="30">
          <cell r="A30" t="str">
            <v>Введите название</v>
          </cell>
        </row>
        <row r="31">
          <cell r="A31" t="str">
            <v>Введите название</v>
          </cell>
        </row>
        <row r="34">
          <cell r="A34" t="str">
            <v>Введите название</v>
          </cell>
        </row>
        <row r="35">
          <cell r="A35" t="str">
            <v>Введите название</v>
          </cell>
        </row>
        <row r="36">
          <cell r="A36" t="str">
            <v>Введите название</v>
          </cell>
        </row>
        <row r="37">
          <cell r="A37" t="str">
            <v>Введите название</v>
          </cell>
        </row>
        <row r="40">
          <cell r="A40" t="str">
            <v>Введите название</v>
          </cell>
        </row>
        <row r="41">
          <cell r="A41" t="str">
            <v>Введите название</v>
          </cell>
        </row>
        <row r="42">
          <cell r="A42" t="str">
            <v>Введите название</v>
          </cell>
        </row>
        <row r="43">
          <cell r="A43" t="str">
            <v>Введите название</v>
          </cell>
        </row>
        <row r="46">
          <cell r="A46" t="str">
            <v>Введите название</v>
          </cell>
        </row>
        <row r="47">
          <cell r="A47" t="str">
            <v>Введите название</v>
          </cell>
        </row>
        <row r="48">
          <cell r="A48" t="str">
            <v>Введите название</v>
          </cell>
        </row>
        <row r="49">
          <cell r="A49" t="str">
            <v>Введите название</v>
          </cell>
        </row>
      </sheetData>
      <sheetData sheetId="21" refreshError="1">
        <row r="7">
          <cell r="A7" t="str">
            <v>Расходы, связанные с компенсацией выпадающих доходов по льготному технологическому присоединению, всего, в том числе:</v>
          </cell>
          <cell r="E7">
            <v>0</v>
          </cell>
        </row>
        <row r="8">
          <cell r="A8" t="str">
            <v xml:space="preserve">   выпадающие доходы сетевой организации от присоединения энергопринимающих устройств, максимальной мощностью, не превышающей 15 кВт включительно, исходя из стоимости мероприятий по технологическому присоединению в размере не более 550 рублей;</v>
          </cell>
        </row>
        <row r="9">
          <cell r="A9" t="str">
            <v xml:space="preserve">   выпадающие доходы сетевой организации от выплаты процентов по кредитным договорам, связанным с рассрочкой по оплате субъектами малого и среднего предпринимательства технологического присоединения энергопринимающих устройств максимальной мощностью свыше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7">
          <cell r="E7" t="str">
            <v>Январь</v>
          </cell>
        </row>
        <row r="8">
          <cell r="E8" t="str">
            <v>Февраль</v>
          </cell>
        </row>
        <row r="9">
          <cell r="E9" t="str">
            <v>Март</v>
          </cell>
        </row>
        <row r="10">
          <cell r="E10" t="str">
            <v>Апрель</v>
          </cell>
        </row>
        <row r="11">
          <cell r="E11" t="str">
            <v>Май</v>
          </cell>
        </row>
        <row r="12">
          <cell r="E12" t="str">
            <v>Июнь</v>
          </cell>
        </row>
        <row r="13">
          <cell r="E13" t="str">
            <v>Июль</v>
          </cell>
        </row>
        <row r="14">
          <cell r="E14" t="str">
            <v>Август</v>
          </cell>
        </row>
        <row r="15">
          <cell r="E15" t="str">
            <v>Сентябрь</v>
          </cell>
        </row>
        <row r="16">
          <cell r="E16" t="str">
            <v>Октябрь</v>
          </cell>
        </row>
        <row r="17">
          <cell r="E17" t="str">
            <v>Ноябрь</v>
          </cell>
        </row>
        <row r="18">
          <cell r="E18" t="str">
            <v>Декабрь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ЦТ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таблица фст"/>
      <sheetName val="Производство электроэнергии"/>
      <sheetName val=" НВВ передача"/>
      <sheetName val="Данные"/>
      <sheetName val="П2.1"/>
    </sheetNames>
    <sheetDataSet>
      <sheetData sheetId="0" refreshError="1">
        <row r="14">
          <cell r="B14">
            <v>2005</v>
          </cell>
        </row>
        <row r="15">
          <cell r="B15">
            <v>2004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C15">
            <v>0</v>
          </cell>
        </row>
        <row r="24">
          <cell r="C2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эл ст"/>
      <sheetName val="Заголовок"/>
      <sheetName val="6"/>
      <sheetName val="Справочники"/>
      <sheetName val="Закупки"/>
      <sheetName val="Макро"/>
      <sheetName val="УЗ-22(2002)"/>
      <sheetName val="УЗ-21(1кв.) (2)"/>
      <sheetName val="УЗ-21(2002)"/>
      <sheetName val="УЗ-22(3кв.) (2)"/>
      <sheetName val="Производство электроэнергии"/>
      <sheetName val="Константы"/>
      <sheetName val="инвестиции 2007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Титульный лист С-П"/>
      <sheetName val="2002(v1)"/>
      <sheetName val="ФИНПЛАН"/>
      <sheetName val="13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sapactivexlhiddensheet"/>
      <sheetName val="расшифровка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Расчёт НВВ по RAB"/>
      <sheetName val="Standard"/>
      <sheetName val="Pricelist"/>
      <sheetName val="Контрагенты"/>
      <sheetName val="ОХЗ КТС"/>
      <sheetName val="Стр1"/>
      <sheetName val="Список"/>
      <sheetName val="Выгрузка"/>
      <sheetName val="Данные ОАО"/>
      <sheetName val="Прил1"/>
      <sheetName val="EKDEB90"/>
      <sheetName val="Закупки центр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ЛЭП 12.2018"/>
    </sheetNames>
    <sheetDataSet>
      <sheetData sheetId="0">
        <row r="11">
          <cell r="Q11">
            <v>49.117999999999995</v>
          </cell>
        </row>
        <row r="12">
          <cell r="Q12">
            <v>7.0310000000000006</v>
          </cell>
        </row>
        <row r="15">
          <cell r="Q15">
            <v>147.09915000000009</v>
          </cell>
        </row>
        <row r="16">
          <cell r="Q16">
            <v>65.031250000000014</v>
          </cell>
        </row>
        <row r="93">
          <cell r="F93">
            <v>3.1530000000000005</v>
          </cell>
          <cell r="G93">
            <v>13.16</v>
          </cell>
        </row>
        <row r="106">
          <cell r="G106">
            <v>0.153</v>
          </cell>
        </row>
        <row r="107">
          <cell r="F107">
            <v>0.86299999999999999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"/>
      <sheetName val="Лист2"/>
      <sheetName val="Лист3"/>
      <sheetName val="ТП 991"/>
      <sheetName val="ЛЕП 991"/>
      <sheetName val="ТП+ЛЭП991"/>
      <sheetName val="ЛЭП"/>
      <sheetName val="Лист1"/>
      <sheetName val="ТП10 0,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2">
          <cell r="H12">
            <v>3.903</v>
          </cell>
        </row>
        <row r="100">
          <cell r="H100">
            <v>13.161000000000001</v>
          </cell>
        </row>
        <row r="139">
          <cell r="F139">
            <v>55.870999999999995</v>
          </cell>
          <cell r="H139">
            <v>218.16440000000006</v>
          </cell>
        </row>
      </sheetData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еречень необх.документов"/>
      <sheetName val="Содержание"/>
      <sheetName val="Реквизиты организации"/>
      <sheetName val="2.1"/>
      <sheetName val="2.2"/>
      <sheetName val="1.4"/>
      <sheetName val="1.5"/>
      <sheetName val="1.24"/>
      <sheetName val="Свод долгосрочный "/>
      <sheetName val="Корр. НВВ по доходам"/>
      <sheetName val="Работы и услуги произ.хар-ра"/>
      <sheetName val="Затраты на ремонт"/>
      <sheetName val="Оплата труда"/>
      <sheetName val="Числ. и разряд"/>
      <sheetName val="Тар коэф "/>
      <sheetName val="Согл. объёмов"/>
      <sheetName val="Другие прочие и подконтрольные "/>
      <sheetName val="Оплата услуг ФСК"/>
      <sheetName val="Содержание зданий"/>
      <sheetName val="Аренда имущества"/>
      <sheetName val="Плата за землю"/>
      <sheetName val="Налог на имущество"/>
      <sheetName val="Транс. налог"/>
      <sheetName val="негативное воздействие "/>
      <sheetName val="прочие НР"/>
      <sheetName val="Корр. НР"/>
      <sheetName val="Корр. ПО"/>
      <sheetName val="Корр. ИП"/>
      <sheetName val="Корр. КНК"/>
      <sheetName val="ТЭП"/>
      <sheetName val="Аммортизация"/>
    </sheetNames>
    <sheetDataSet>
      <sheetData sheetId="0" refreshError="1"/>
      <sheetData sheetId="1" refreshError="1"/>
      <sheetData sheetId="2" refreshError="1"/>
      <sheetData sheetId="3">
        <row r="43">
          <cell r="Y43">
            <v>68.893899999999988</v>
          </cell>
        </row>
        <row r="48">
          <cell r="Y48">
            <v>400.24053000000004</v>
          </cell>
        </row>
      </sheetData>
      <sheetData sheetId="4">
        <row r="37">
          <cell r="Y37">
            <v>370.8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2019"/>
    </sheetNames>
    <sheetDataSet>
      <sheetData sheetId="0" refreshError="1"/>
      <sheetData sheetId="1" refreshError="1"/>
      <sheetData sheetId="2">
        <row r="95">
          <cell r="W95">
            <v>1736219.437337975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odLoad"/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AllSheetsInThisWorkbook"/>
      <sheetName val="TEHSHEET"/>
      <sheetName val="modFill"/>
      <sheetName val="et_union"/>
      <sheetName val="modProv"/>
      <sheetName val="modHTTP"/>
      <sheetName val="REESTR_ORG"/>
      <sheetName val="modReestr"/>
      <sheetName val="modInstruction"/>
      <sheetName val="modUpdTemplMain"/>
      <sheetName val="modfrmReestr"/>
      <sheetName val="modfrmRegion"/>
      <sheetName val="modfrmAuthorization"/>
      <sheetName val="modfrmDateChoose"/>
      <sheetName val="modClassifierValidate"/>
      <sheetName val="modHyp"/>
      <sheetName val="modList00"/>
      <sheetName val="modList01"/>
      <sheetName val="modList04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8">
          <cell r="AA48">
            <v>2.9009999999999998</v>
          </cell>
          <cell r="AB48">
            <v>2.657</v>
          </cell>
          <cell r="AC48">
            <v>2.7330000000000001</v>
          </cell>
          <cell r="AD48">
            <v>2.2949999999999999</v>
          </cell>
          <cell r="AE48">
            <v>2.0150000000000001</v>
          </cell>
          <cell r="AF48">
            <v>2</v>
          </cell>
          <cell r="AG48">
            <v>2.1579999999999999</v>
          </cell>
          <cell r="AH48">
            <v>2.2040000000000002</v>
          </cell>
          <cell r="AI48">
            <v>2.2589999999999999</v>
          </cell>
          <cell r="AJ48">
            <v>2.504</v>
          </cell>
          <cell r="AK48">
            <v>2.6819999999999999</v>
          </cell>
          <cell r="AL48">
            <v>2.758</v>
          </cell>
          <cell r="AM48">
            <v>29.166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7">
          <cell r="F7">
            <v>45.6</v>
          </cell>
        </row>
        <row r="8">
          <cell r="F8">
            <v>10500</v>
          </cell>
        </row>
        <row r="10">
          <cell r="F10">
            <v>131.66999999999999</v>
          </cell>
        </row>
        <row r="11">
          <cell r="F11">
            <v>366.9</v>
          </cell>
        </row>
        <row r="12">
          <cell r="F12">
            <v>177.5</v>
          </cell>
        </row>
        <row r="13">
          <cell r="F13">
            <v>20.3</v>
          </cell>
        </row>
        <row r="14">
          <cell r="F14">
            <v>23.75</v>
          </cell>
        </row>
        <row r="15">
          <cell r="F15">
            <v>50.79</v>
          </cell>
        </row>
        <row r="16">
          <cell r="F16">
            <v>94.6</v>
          </cell>
        </row>
        <row r="17">
          <cell r="F17">
            <v>46.02</v>
          </cell>
        </row>
        <row r="18">
          <cell r="F18">
            <v>63.19</v>
          </cell>
        </row>
        <row r="19">
          <cell r="F19">
            <v>141.69999999999999</v>
          </cell>
        </row>
        <row r="20">
          <cell r="F20">
            <v>412.5</v>
          </cell>
        </row>
        <row r="21">
          <cell r="F21">
            <v>436.25</v>
          </cell>
        </row>
        <row r="22">
          <cell r="F22">
            <v>45</v>
          </cell>
        </row>
        <row r="23">
          <cell r="F23">
            <v>62.5</v>
          </cell>
        </row>
        <row r="24">
          <cell r="F24">
            <v>1286.25</v>
          </cell>
        </row>
        <row r="25">
          <cell r="F25">
            <v>5832.5</v>
          </cell>
        </row>
        <row r="26">
          <cell r="F26">
            <v>213.87</v>
          </cell>
        </row>
        <row r="27">
          <cell r="F27">
            <v>25.4</v>
          </cell>
        </row>
        <row r="28">
          <cell r="F28">
            <v>123.75</v>
          </cell>
        </row>
        <row r="30">
          <cell r="F30">
            <v>8687.5</v>
          </cell>
        </row>
        <row r="101">
          <cell r="F101">
            <v>492.68</v>
          </cell>
        </row>
        <row r="105">
          <cell r="F105">
            <v>9.5</v>
          </cell>
        </row>
        <row r="106">
          <cell r="F106">
            <v>7.7</v>
          </cell>
        </row>
        <row r="107">
          <cell r="F107">
            <v>8.8000000000000007</v>
          </cell>
        </row>
        <row r="108">
          <cell r="F108">
            <v>9</v>
          </cell>
        </row>
        <row r="109">
          <cell r="F109">
            <v>11.2</v>
          </cell>
        </row>
        <row r="110">
          <cell r="F110">
            <v>14.9</v>
          </cell>
        </row>
        <row r="111">
          <cell r="F111">
            <v>21.4</v>
          </cell>
        </row>
        <row r="112">
          <cell r="F112">
            <v>29.5</v>
          </cell>
        </row>
        <row r="113">
          <cell r="F113">
            <v>38.6</v>
          </cell>
        </row>
        <row r="124">
          <cell r="F124">
            <v>48.5</v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еречень необх.документов"/>
      <sheetName val="Содержание"/>
      <sheetName val="Реквизиты организации"/>
      <sheetName val="2.1"/>
      <sheetName val="2.2"/>
      <sheetName val="1.4"/>
      <sheetName val="1.5"/>
      <sheetName val="1.24"/>
      <sheetName val="Свод долгосрочный "/>
      <sheetName val="Корр. НВВ по доходам"/>
      <sheetName val="Работы и услуги произ.хар-ра"/>
      <sheetName val="Затраты на ремонт"/>
      <sheetName val="Оплата труда"/>
      <sheetName val="Числ. и разряд"/>
      <sheetName val="Тар коэф "/>
      <sheetName val="Согл. объёмов"/>
      <sheetName val="Другие прочие и подконтрольные "/>
      <sheetName val="Оплата услуг ФСК"/>
      <sheetName val="Содержание зданий"/>
      <sheetName val="Аренда имущества"/>
      <sheetName val="Плата за землю"/>
      <sheetName val="Налог на имущество"/>
      <sheetName val="Транс. налог"/>
      <sheetName val="негативное воздействие "/>
      <sheetName val="прочие НР"/>
      <sheetName val="Корр. НР"/>
      <sheetName val="Корр. ПО"/>
      <sheetName val="Корр. ИП"/>
      <sheetName val="Корр. КНК"/>
      <sheetName val="ТЭП"/>
      <sheetName val="Ам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84">
          <cell r="F84">
            <v>147</v>
          </cell>
        </row>
        <row r="85">
          <cell r="F85">
            <v>217</v>
          </cell>
        </row>
        <row r="86">
          <cell r="F86">
            <v>238</v>
          </cell>
        </row>
        <row r="87">
          <cell r="F87">
            <v>341</v>
          </cell>
        </row>
        <row r="88">
          <cell r="F88">
            <v>393</v>
          </cell>
        </row>
        <row r="89">
          <cell r="F89">
            <v>467</v>
          </cell>
        </row>
        <row r="90">
          <cell r="F90">
            <v>1318.1</v>
          </cell>
        </row>
        <row r="91">
          <cell r="F91">
            <v>26</v>
          </cell>
        </row>
        <row r="92">
          <cell r="F92">
            <v>390</v>
          </cell>
        </row>
        <row r="93">
          <cell r="F93">
            <v>390</v>
          </cell>
        </row>
        <row r="134">
          <cell r="F134">
            <v>15000</v>
          </cell>
        </row>
        <row r="135">
          <cell r="F135">
            <v>1990</v>
          </cell>
        </row>
        <row r="139">
          <cell r="F139">
            <v>870</v>
          </cell>
        </row>
        <row r="140">
          <cell r="F140">
            <v>1334.85</v>
          </cell>
        </row>
        <row r="141">
          <cell r="F141">
            <v>1406.69</v>
          </cell>
        </row>
        <row r="142">
          <cell r="F142">
            <v>1187.4000000000001</v>
          </cell>
        </row>
        <row r="143">
          <cell r="F143">
            <v>2792.73</v>
          </cell>
        </row>
        <row r="144">
          <cell r="F144">
            <v>7757.93</v>
          </cell>
        </row>
        <row r="145">
          <cell r="F145">
            <v>8264.2800000000007</v>
          </cell>
        </row>
        <row r="161">
          <cell r="F161">
            <v>813.6</v>
          </cell>
        </row>
        <row r="163">
          <cell r="F163">
            <v>8.4</v>
          </cell>
        </row>
        <row r="164">
          <cell r="F164">
            <v>220.00000000000003</v>
          </cell>
        </row>
        <row r="165">
          <cell r="F165">
            <v>120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indexed="35"/>
  </sheetPr>
  <dimension ref="B1:J154"/>
  <sheetViews>
    <sheetView tabSelected="1" workbookViewId="0"/>
  </sheetViews>
  <sheetFormatPr defaultRowHeight="12.75"/>
  <cols>
    <col min="2" max="2" width="17.42578125" customWidth="1"/>
    <col min="3" max="3" width="140.85546875" customWidth="1"/>
    <col min="4" max="4" width="44.85546875" customWidth="1"/>
    <col min="5" max="5" width="26.5703125" customWidth="1"/>
    <col min="6" max="6" width="17.7109375" customWidth="1"/>
    <col min="7" max="7" width="32.5703125" customWidth="1"/>
    <col min="8" max="11" width="10.7109375" customWidth="1"/>
    <col min="12" max="13" width="19.42578125" customWidth="1"/>
    <col min="14" max="14" width="21.140625" customWidth="1"/>
  </cols>
  <sheetData>
    <row r="1" spans="2:10" ht="43.5" customHeight="1">
      <c r="B1" s="1468" t="s">
        <v>105</v>
      </c>
      <c r="C1" s="1469"/>
      <c r="D1" s="1469"/>
      <c r="E1" s="1469"/>
    </row>
    <row r="2" spans="2:10" ht="18.75">
      <c r="B2" s="221"/>
      <c r="C2" s="198"/>
      <c r="D2" s="198"/>
      <c r="E2" s="198"/>
    </row>
    <row r="3" spans="2:10" ht="166.5" customHeight="1">
      <c r="B3" s="1470" t="s">
        <v>913</v>
      </c>
      <c r="C3" s="1471"/>
      <c r="D3" s="1471"/>
      <c r="E3" s="1471"/>
      <c r="F3" s="234"/>
    </row>
    <row r="4" spans="2:10" ht="18.75">
      <c r="B4" s="222"/>
    </row>
    <row r="5" spans="2:10" ht="19.5" customHeight="1">
      <c r="B5" s="1453" t="s">
        <v>909</v>
      </c>
      <c r="C5" s="1454"/>
      <c r="D5" s="1454"/>
      <c r="E5" s="1454"/>
    </row>
    <row r="6" spans="2:10" ht="19.5" customHeight="1">
      <c r="B6" s="1472" t="s">
        <v>123</v>
      </c>
      <c r="C6" s="1454"/>
      <c r="D6" s="1454"/>
      <c r="F6" s="225"/>
      <c r="G6" s="225"/>
      <c r="H6" s="225"/>
      <c r="I6" s="225"/>
      <c r="J6" s="225"/>
    </row>
    <row r="7" spans="2:10" ht="19.5" customHeight="1">
      <c r="B7" s="1453" t="s">
        <v>484</v>
      </c>
      <c r="C7" s="1454"/>
    </row>
    <row r="8" spans="2:10" ht="19.5" customHeight="1">
      <c r="B8" s="1453" t="s">
        <v>239</v>
      </c>
      <c r="C8" s="1454"/>
      <c r="D8" s="1454"/>
    </row>
    <row r="9" spans="2:10" ht="19.5" customHeight="1">
      <c r="B9" s="1453" t="s">
        <v>118</v>
      </c>
      <c r="C9" s="1454"/>
      <c r="D9" s="1454"/>
    </row>
    <row r="10" spans="2:10" ht="19.5" customHeight="1">
      <c r="B10" s="1453" t="s">
        <v>119</v>
      </c>
      <c r="C10" s="1454"/>
      <c r="D10" s="1454"/>
    </row>
    <row r="11" spans="2:10" ht="19.5" customHeight="1">
      <c r="B11" s="1453" t="s">
        <v>120</v>
      </c>
      <c r="C11" s="1454"/>
      <c r="D11" s="1454"/>
    </row>
    <row r="12" spans="2:10" ht="19.5" customHeight="1">
      <c r="B12" s="1455" t="s">
        <v>121</v>
      </c>
      <c r="C12" s="1456"/>
      <c r="D12" s="1456"/>
      <c r="E12" s="226"/>
    </row>
    <row r="13" spans="2:10" ht="102.75" customHeight="1">
      <c r="B13" s="1459" t="s">
        <v>914</v>
      </c>
      <c r="C13" s="1454"/>
      <c r="D13" s="1454"/>
      <c r="E13" s="226"/>
    </row>
    <row r="14" spans="2:10" ht="19.5" customHeight="1">
      <c r="B14" s="1455" t="s">
        <v>240</v>
      </c>
      <c r="C14" s="1456"/>
      <c r="D14" s="1456"/>
    </row>
    <row r="15" spans="2:10" ht="19.5" thickBot="1">
      <c r="B15" s="222"/>
    </row>
    <row r="16" spans="2:10" ht="38.25" thickBot="1">
      <c r="B16" s="227"/>
      <c r="C16" s="236" t="s">
        <v>124</v>
      </c>
      <c r="D16" s="236" t="s">
        <v>125</v>
      </c>
    </row>
    <row r="17" spans="2:4" ht="37.5">
      <c r="B17" s="1460" t="s">
        <v>247</v>
      </c>
      <c r="C17" s="228" t="s">
        <v>915</v>
      </c>
      <c r="D17" s="1463" t="s">
        <v>126</v>
      </c>
    </row>
    <row r="18" spans="2:4" ht="18.75">
      <c r="B18" s="1461"/>
      <c r="C18" s="228" t="s">
        <v>127</v>
      </c>
      <c r="D18" s="1464"/>
    </row>
    <row r="19" spans="2:4" ht="18.75">
      <c r="B19" s="1461"/>
      <c r="C19" s="228" t="s">
        <v>128</v>
      </c>
      <c r="D19" s="1464"/>
    </row>
    <row r="20" spans="2:4" ht="18.75">
      <c r="B20" s="1461"/>
      <c r="C20" s="228" t="s">
        <v>129</v>
      </c>
      <c r="D20" s="1464"/>
    </row>
    <row r="21" spans="2:4" ht="18.75">
      <c r="B21" s="1461"/>
      <c r="C21" s="228" t="s">
        <v>130</v>
      </c>
      <c r="D21" s="1464"/>
    </row>
    <row r="22" spans="2:4" ht="18.75">
      <c r="B22" s="1461"/>
      <c r="C22" s="228" t="s">
        <v>131</v>
      </c>
      <c r="D22" s="1464"/>
    </row>
    <row r="23" spans="2:4" ht="18.75">
      <c r="B23" s="1461"/>
      <c r="C23" s="228" t="s">
        <v>132</v>
      </c>
      <c r="D23" s="1464"/>
    </row>
    <row r="24" spans="2:4" ht="37.5">
      <c r="B24" s="1461"/>
      <c r="C24" s="228" t="s">
        <v>916</v>
      </c>
      <c r="D24" s="1464"/>
    </row>
    <row r="25" spans="2:4" ht="18.75">
      <c r="B25" s="1461"/>
      <c r="C25" s="228" t="s">
        <v>133</v>
      </c>
      <c r="D25" s="1464"/>
    </row>
    <row r="26" spans="2:4" ht="37.5">
      <c r="B26" s="1461"/>
      <c r="C26" s="228" t="s">
        <v>917</v>
      </c>
      <c r="D26" s="1464"/>
    </row>
    <row r="27" spans="2:4" ht="19.5" thickBot="1">
      <c r="B27" s="1461"/>
      <c r="C27" s="229" t="s">
        <v>918</v>
      </c>
      <c r="D27" s="1464"/>
    </row>
    <row r="28" spans="2:4" ht="38.25" thickBot="1">
      <c r="B28" s="1462"/>
      <c r="C28" s="873" t="s">
        <v>919</v>
      </c>
      <c r="D28" s="1465"/>
    </row>
    <row r="29" spans="2:4" ht="37.5">
      <c r="B29" s="1460" t="s">
        <v>243</v>
      </c>
      <c r="C29" s="228" t="s">
        <v>134</v>
      </c>
      <c r="D29" s="1463" t="s">
        <v>135</v>
      </c>
    </row>
    <row r="30" spans="2:4" ht="18.75">
      <c r="B30" s="1461"/>
      <c r="C30" s="228" t="s">
        <v>136</v>
      </c>
      <c r="D30" s="1464"/>
    </row>
    <row r="31" spans="2:4" ht="18.75">
      <c r="B31" s="1461"/>
      <c r="C31" s="228" t="s">
        <v>137</v>
      </c>
      <c r="D31" s="1464"/>
    </row>
    <row r="32" spans="2:4" ht="19.5" thickBot="1">
      <c r="B32" s="1462"/>
      <c r="C32" s="229" t="s">
        <v>831</v>
      </c>
      <c r="D32" s="1465"/>
    </row>
    <row r="33" spans="2:4" ht="38.25" thickBot="1">
      <c r="B33" s="235" t="s">
        <v>248</v>
      </c>
      <c r="C33" s="229" t="s">
        <v>920</v>
      </c>
      <c r="D33" s="230" t="s">
        <v>138</v>
      </c>
    </row>
    <row r="34" spans="2:4" ht="18.75">
      <c r="B34" s="1460" t="s">
        <v>250</v>
      </c>
      <c r="C34" s="228" t="s">
        <v>139</v>
      </c>
      <c r="D34" s="1463" t="s">
        <v>140</v>
      </c>
    </row>
    <row r="35" spans="2:4" ht="57" thickBot="1">
      <c r="B35" s="1462"/>
      <c r="C35" s="229" t="s">
        <v>141</v>
      </c>
      <c r="D35" s="1465"/>
    </row>
    <row r="36" spans="2:4" ht="37.5">
      <c r="B36" s="1460" t="s">
        <v>251</v>
      </c>
      <c r="C36" s="228" t="s">
        <v>142</v>
      </c>
      <c r="D36" s="1463" t="s">
        <v>143</v>
      </c>
    </row>
    <row r="37" spans="2:4" ht="37.5">
      <c r="B37" s="1461"/>
      <c r="C37" s="228" t="s">
        <v>144</v>
      </c>
      <c r="D37" s="1464"/>
    </row>
    <row r="38" spans="2:4" ht="18.75">
      <c r="B38" s="1461"/>
      <c r="C38" s="228" t="s">
        <v>145</v>
      </c>
      <c r="D38" s="1464"/>
    </row>
    <row r="39" spans="2:4" ht="18.75">
      <c r="B39" s="1461"/>
      <c r="C39" s="228" t="s">
        <v>924</v>
      </c>
      <c r="D39" s="1464"/>
    </row>
    <row r="40" spans="2:4" ht="18.75">
      <c r="B40" s="1461"/>
      <c r="C40" s="228" t="s">
        <v>146</v>
      </c>
      <c r="D40" s="1464"/>
    </row>
    <row r="41" spans="2:4" ht="18.75">
      <c r="B41" s="1461"/>
      <c r="C41" s="228" t="s">
        <v>147</v>
      </c>
      <c r="D41" s="1464"/>
    </row>
    <row r="42" spans="2:4" ht="37.5">
      <c r="B42" s="1461"/>
      <c r="C42" s="228" t="s">
        <v>148</v>
      </c>
      <c r="D42" s="1464"/>
    </row>
    <row r="43" spans="2:4" ht="18.75">
      <c r="B43" s="1461"/>
      <c r="C43" s="228" t="s">
        <v>149</v>
      </c>
      <c r="D43" s="1464"/>
    </row>
    <row r="44" spans="2:4" ht="18.75">
      <c r="B44" s="1461"/>
      <c r="C44" s="228" t="s">
        <v>150</v>
      </c>
      <c r="D44" s="1464"/>
    </row>
    <row r="45" spans="2:4" ht="18.75">
      <c r="B45" s="1461"/>
      <c r="C45" s="228" t="s">
        <v>923</v>
      </c>
      <c r="D45" s="1464"/>
    </row>
    <row r="46" spans="2:4" ht="43.5" customHeight="1">
      <c r="B46" s="1461"/>
      <c r="C46" s="228" t="s">
        <v>151</v>
      </c>
      <c r="D46" s="1464"/>
    </row>
    <row r="47" spans="2:4" ht="56.25">
      <c r="B47" s="1461"/>
      <c r="C47" s="228" t="s">
        <v>152</v>
      </c>
      <c r="D47" s="1464"/>
    </row>
    <row r="48" spans="2:4" ht="37.5">
      <c r="B48" s="1461"/>
      <c r="C48" s="228" t="s">
        <v>921</v>
      </c>
      <c r="D48" s="1464"/>
    </row>
    <row r="49" spans="2:4" ht="18.75">
      <c r="B49" s="1461"/>
      <c r="C49" s="228" t="s">
        <v>153</v>
      </c>
      <c r="D49" s="1464"/>
    </row>
    <row r="50" spans="2:4" ht="18.75">
      <c r="B50" s="1461"/>
      <c r="C50" s="228" t="s">
        <v>154</v>
      </c>
      <c r="D50" s="1464"/>
    </row>
    <row r="51" spans="2:4" ht="18.75">
      <c r="B51" s="1461"/>
      <c r="C51" s="228" t="s">
        <v>155</v>
      </c>
      <c r="D51" s="1464"/>
    </row>
    <row r="52" spans="2:4" ht="18.75">
      <c r="B52" s="1461"/>
      <c r="C52" s="228" t="s">
        <v>156</v>
      </c>
      <c r="D52" s="1464"/>
    </row>
    <row r="53" spans="2:4" ht="18.75">
      <c r="B53" s="1461"/>
      <c r="C53" s="228" t="s">
        <v>157</v>
      </c>
      <c r="D53" s="1464"/>
    </row>
    <row r="54" spans="2:4" ht="18.75">
      <c r="B54" s="1461"/>
      <c r="C54" s="228" t="s">
        <v>158</v>
      </c>
      <c r="D54" s="1464"/>
    </row>
    <row r="55" spans="2:4" ht="18.75">
      <c r="B55" s="1461"/>
      <c r="C55" s="228" t="s">
        <v>159</v>
      </c>
      <c r="D55" s="1464"/>
    </row>
    <row r="56" spans="2:4" ht="37.5">
      <c r="B56" s="1461"/>
      <c r="C56" s="228" t="s">
        <v>160</v>
      </c>
      <c r="D56" s="1464"/>
    </row>
    <row r="57" spans="2:4" ht="37.5">
      <c r="B57" s="1461"/>
      <c r="C57" s="228" t="s">
        <v>161</v>
      </c>
      <c r="D57" s="1464"/>
    </row>
    <row r="58" spans="2:4" ht="25.5" customHeight="1">
      <c r="B58" s="1461"/>
      <c r="C58" s="228" t="s">
        <v>162</v>
      </c>
      <c r="D58" s="1464"/>
    </row>
    <row r="59" spans="2:4" ht="18.75">
      <c r="B59" s="1461"/>
      <c r="C59" s="228" t="s">
        <v>163</v>
      </c>
      <c r="D59" s="1464"/>
    </row>
    <row r="60" spans="2:4" ht="18.75">
      <c r="B60" s="1461"/>
      <c r="C60" s="228" t="s">
        <v>164</v>
      </c>
      <c r="D60" s="1464"/>
    </row>
    <row r="61" spans="2:4" ht="18.75">
      <c r="B61" s="1461"/>
      <c r="C61" s="228" t="s">
        <v>165</v>
      </c>
      <c r="D61" s="1464"/>
    </row>
    <row r="62" spans="2:4" ht="18.75">
      <c r="B62" s="1461"/>
      <c r="C62" s="228" t="s">
        <v>166</v>
      </c>
      <c r="D62" s="1464"/>
    </row>
    <row r="63" spans="2:4" ht="37.5">
      <c r="B63" s="1461"/>
      <c r="C63" s="228" t="s">
        <v>167</v>
      </c>
      <c r="D63" s="1464"/>
    </row>
    <row r="64" spans="2:4" ht="37.5">
      <c r="B64" s="1461"/>
      <c r="C64" s="228" t="s">
        <v>168</v>
      </c>
      <c r="D64" s="1464"/>
    </row>
    <row r="65" spans="2:4" ht="37.5">
      <c r="B65" s="1461"/>
      <c r="C65" s="228" t="s">
        <v>169</v>
      </c>
      <c r="D65" s="1464"/>
    </row>
    <row r="66" spans="2:4" ht="18.75">
      <c r="B66" s="1461"/>
      <c r="C66" s="228" t="s">
        <v>170</v>
      </c>
      <c r="D66" s="1464"/>
    </row>
    <row r="67" spans="2:4" ht="37.5">
      <c r="B67" s="1461"/>
      <c r="C67" s="228" t="s">
        <v>171</v>
      </c>
      <c r="D67" s="1464"/>
    </row>
    <row r="68" spans="2:4" ht="37.5">
      <c r="B68" s="1461"/>
      <c r="C68" s="228" t="s">
        <v>172</v>
      </c>
      <c r="D68" s="1464"/>
    </row>
    <row r="69" spans="2:4" ht="18.75">
      <c r="B69" s="1461"/>
      <c r="C69" s="228" t="s">
        <v>173</v>
      </c>
      <c r="D69" s="1464"/>
    </row>
    <row r="70" spans="2:4" ht="37.5">
      <c r="B70" s="1461"/>
      <c r="C70" s="228" t="s">
        <v>174</v>
      </c>
      <c r="D70" s="1464"/>
    </row>
    <row r="71" spans="2:4" ht="37.5">
      <c r="B71" s="1461"/>
      <c r="C71" s="228" t="s">
        <v>922</v>
      </c>
      <c r="D71" s="1464"/>
    </row>
    <row r="72" spans="2:4" ht="37.5">
      <c r="B72" s="1461"/>
      <c r="C72" s="228" t="s">
        <v>175</v>
      </c>
      <c r="D72" s="1464"/>
    </row>
    <row r="73" spans="2:4" ht="18.75">
      <c r="B73" s="1461"/>
      <c r="C73" s="228" t="s">
        <v>176</v>
      </c>
      <c r="D73" s="1464"/>
    </row>
    <row r="74" spans="2:4" ht="18.75">
      <c r="B74" s="1461"/>
      <c r="C74" s="228" t="s">
        <v>177</v>
      </c>
      <c r="D74" s="1464"/>
    </row>
    <row r="75" spans="2:4" ht="18.75">
      <c r="B75" s="1461"/>
      <c r="C75" s="228" t="s">
        <v>178</v>
      </c>
      <c r="D75" s="1464"/>
    </row>
    <row r="76" spans="2:4" ht="18.75">
      <c r="B76" s="1461"/>
      <c r="C76" s="228" t="s">
        <v>179</v>
      </c>
      <c r="D76" s="1464"/>
    </row>
    <row r="77" spans="2:4" ht="37.5">
      <c r="B77" s="1461"/>
      <c r="C77" s="228" t="s">
        <v>180</v>
      </c>
      <c r="D77" s="1464"/>
    </row>
    <row r="78" spans="2:4" ht="18.75">
      <c r="B78" s="1461"/>
      <c r="C78" s="228" t="s">
        <v>181</v>
      </c>
      <c r="D78" s="1464"/>
    </row>
    <row r="79" spans="2:4" ht="18.75">
      <c r="B79" s="1461"/>
      <c r="C79" s="228" t="s">
        <v>182</v>
      </c>
      <c r="D79" s="1464"/>
    </row>
    <row r="80" spans="2:4" ht="18.75">
      <c r="B80" s="1461"/>
      <c r="C80" s="228" t="s">
        <v>183</v>
      </c>
      <c r="D80" s="1464"/>
    </row>
    <row r="81" spans="2:4" ht="18.75">
      <c r="B81" s="1461"/>
      <c r="C81" s="228" t="s">
        <v>184</v>
      </c>
      <c r="D81" s="1464"/>
    </row>
    <row r="82" spans="2:4" ht="18.75">
      <c r="B82" s="1461"/>
      <c r="C82" s="228" t="s">
        <v>185</v>
      </c>
      <c r="D82" s="1464"/>
    </row>
    <row r="83" spans="2:4" ht="18.75">
      <c r="B83" s="1461"/>
      <c r="C83" s="228" t="s">
        <v>186</v>
      </c>
      <c r="D83" s="1464"/>
    </row>
    <row r="84" spans="2:4" ht="56.25">
      <c r="B84" s="1461"/>
      <c r="C84" s="228" t="s">
        <v>187</v>
      </c>
      <c r="D84" s="1464"/>
    </row>
    <row r="85" spans="2:4" ht="37.5">
      <c r="B85" s="1461"/>
      <c r="C85" s="228" t="s">
        <v>188</v>
      </c>
      <c r="D85" s="1464"/>
    </row>
    <row r="86" spans="2:4" ht="37.5">
      <c r="B86" s="1461"/>
      <c r="C86" s="228" t="s">
        <v>189</v>
      </c>
      <c r="D86" s="1464"/>
    </row>
    <row r="87" spans="2:4" ht="37.5">
      <c r="B87" s="1461"/>
      <c r="C87" s="228" t="s">
        <v>190</v>
      </c>
      <c r="D87" s="1464"/>
    </row>
    <row r="88" spans="2:4" ht="37.5">
      <c r="B88" s="1461"/>
      <c r="C88" s="228" t="s">
        <v>191</v>
      </c>
      <c r="D88" s="1464"/>
    </row>
    <row r="89" spans="2:4" ht="18.75">
      <c r="B89" s="1461"/>
      <c r="C89" s="228" t="s">
        <v>192</v>
      </c>
      <c r="D89" s="1464"/>
    </row>
    <row r="90" spans="2:4" ht="18.75">
      <c r="B90" s="1461"/>
      <c r="C90" s="228" t="s">
        <v>193</v>
      </c>
      <c r="D90" s="1464"/>
    </row>
    <row r="91" spans="2:4" ht="18.75">
      <c r="B91" s="1461"/>
      <c r="C91" s="228" t="s">
        <v>194</v>
      </c>
      <c r="D91" s="1464"/>
    </row>
    <row r="92" spans="2:4" ht="18.75">
      <c r="B92" s="1461"/>
      <c r="C92" s="228" t="s">
        <v>195</v>
      </c>
      <c r="D92" s="1464"/>
    </row>
    <row r="93" spans="2:4" ht="18.75">
      <c r="B93" s="1461"/>
      <c r="C93" s="228" t="s">
        <v>196</v>
      </c>
      <c r="D93" s="1464"/>
    </row>
    <row r="94" spans="2:4" ht="18.75">
      <c r="B94" s="1461"/>
      <c r="C94" s="228" t="s">
        <v>197</v>
      </c>
      <c r="D94" s="1464"/>
    </row>
    <row r="95" spans="2:4" ht="18.75">
      <c r="B95" s="1461"/>
      <c r="C95" s="228" t="s">
        <v>198</v>
      </c>
      <c r="D95" s="1464"/>
    </row>
    <row r="96" spans="2:4" ht="18.75">
      <c r="B96" s="1461"/>
      <c r="C96" s="228" t="s">
        <v>199</v>
      </c>
      <c r="D96" s="1464"/>
    </row>
    <row r="97" spans="2:4" ht="18.75">
      <c r="B97" s="1461"/>
      <c r="C97" s="228" t="s">
        <v>200</v>
      </c>
      <c r="D97" s="1464"/>
    </row>
    <row r="98" spans="2:4" ht="18.75">
      <c r="B98" s="1461"/>
      <c r="C98" s="228" t="s">
        <v>201</v>
      </c>
      <c r="D98" s="1464"/>
    </row>
    <row r="99" spans="2:4" ht="75">
      <c r="B99" s="1461"/>
      <c r="C99" s="228" t="s">
        <v>202</v>
      </c>
      <c r="D99" s="1464"/>
    </row>
    <row r="100" spans="2:4" ht="18.75">
      <c r="B100" s="1461"/>
      <c r="C100" s="228" t="s">
        <v>203</v>
      </c>
      <c r="D100" s="1464"/>
    </row>
    <row r="101" spans="2:4" ht="18.75">
      <c r="B101" s="1461"/>
      <c r="C101" s="228" t="s">
        <v>204</v>
      </c>
      <c r="D101" s="1464"/>
    </row>
    <row r="102" spans="2:4" ht="37.5">
      <c r="B102" s="1461"/>
      <c r="C102" s="228" t="s">
        <v>205</v>
      </c>
      <c r="D102" s="1464"/>
    </row>
    <row r="103" spans="2:4" ht="37.5">
      <c r="B103" s="1461"/>
      <c r="C103" s="231" t="s">
        <v>206</v>
      </c>
      <c r="D103" s="1464"/>
    </row>
    <row r="104" spans="2:4" ht="19.5" thickBot="1">
      <c r="B104" s="1462"/>
      <c r="C104" s="229"/>
      <c r="D104" s="1465"/>
    </row>
    <row r="105" spans="2:4" ht="37.5">
      <c r="B105" s="1460" t="s">
        <v>252</v>
      </c>
      <c r="C105" s="228" t="s">
        <v>207</v>
      </c>
      <c r="D105" s="1463" t="s">
        <v>208</v>
      </c>
    </row>
    <row r="106" spans="2:4" ht="18.75">
      <c r="B106" s="1461"/>
      <c r="C106" s="228" t="s">
        <v>209</v>
      </c>
      <c r="D106" s="1464"/>
    </row>
    <row r="107" spans="2:4" ht="37.5">
      <c r="B107" s="1461"/>
      <c r="C107" s="228" t="s">
        <v>210</v>
      </c>
      <c r="D107" s="1464"/>
    </row>
    <row r="108" spans="2:4" ht="18.75">
      <c r="B108" s="1461"/>
      <c r="C108" s="228" t="s">
        <v>211</v>
      </c>
      <c r="D108" s="1464"/>
    </row>
    <row r="109" spans="2:4" ht="18.75">
      <c r="B109" s="1461"/>
      <c r="C109" s="228" t="s">
        <v>212</v>
      </c>
      <c r="D109" s="1464"/>
    </row>
    <row r="110" spans="2:4" ht="18.75">
      <c r="B110" s="1461"/>
      <c r="C110" s="228" t="s">
        <v>213</v>
      </c>
      <c r="D110" s="1464"/>
    </row>
    <row r="111" spans="2:4" ht="18.75">
      <c r="B111" s="1461"/>
      <c r="C111" s="228" t="s">
        <v>214</v>
      </c>
      <c r="D111" s="1464"/>
    </row>
    <row r="112" spans="2:4" ht="18.75">
      <c r="B112" s="1461"/>
      <c r="C112" s="228" t="s">
        <v>215</v>
      </c>
      <c r="D112" s="1464"/>
    </row>
    <row r="113" spans="2:4" ht="56.25">
      <c r="B113" s="1461"/>
      <c r="C113" s="228" t="s">
        <v>216</v>
      </c>
      <c r="D113" s="1464"/>
    </row>
    <row r="114" spans="2:4" ht="37.5">
      <c r="B114" s="1461"/>
      <c r="C114" s="228" t="s">
        <v>217</v>
      </c>
      <c r="D114" s="1464"/>
    </row>
    <row r="115" spans="2:4" ht="37.5">
      <c r="B115" s="1461"/>
      <c r="C115" s="228" t="s">
        <v>218</v>
      </c>
      <c r="D115" s="1464"/>
    </row>
    <row r="116" spans="2:4" ht="37.5">
      <c r="B116" s="1461"/>
      <c r="C116" s="228" t="s">
        <v>219</v>
      </c>
      <c r="D116" s="1464"/>
    </row>
    <row r="117" spans="2:4" ht="37.5">
      <c r="B117" s="1461"/>
      <c r="C117" s="228" t="s">
        <v>220</v>
      </c>
      <c r="D117" s="1464"/>
    </row>
    <row r="118" spans="2:4" ht="18.75">
      <c r="B118" s="1461"/>
      <c r="C118" s="228" t="s">
        <v>221</v>
      </c>
      <c r="D118" s="1464"/>
    </row>
    <row r="119" spans="2:4" ht="18.75">
      <c r="B119" s="1461"/>
      <c r="C119" s="228" t="s">
        <v>222</v>
      </c>
      <c r="D119" s="1464"/>
    </row>
    <row r="120" spans="2:4" ht="37.5">
      <c r="B120" s="1461"/>
      <c r="C120" s="228" t="s">
        <v>223</v>
      </c>
      <c r="D120" s="1464"/>
    </row>
    <row r="121" spans="2:4" ht="37.5">
      <c r="B121" s="1461"/>
      <c r="C121" s="228" t="s">
        <v>224</v>
      </c>
      <c r="D121" s="1464"/>
    </row>
    <row r="122" spans="2:4" ht="37.5">
      <c r="B122" s="1461"/>
      <c r="C122" s="228" t="s">
        <v>225</v>
      </c>
      <c r="D122" s="1464"/>
    </row>
    <row r="123" spans="2:4" ht="37.5">
      <c r="B123" s="1461"/>
      <c r="C123" s="228" t="s">
        <v>226</v>
      </c>
      <c r="D123" s="1464"/>
    </row>
    <row r="124" spans="2:4" ht="37.5">
      <c r="B124" s="1461"/>
      <c r="C124" s="232" t="s">
        <v>227</v>
      </c>
      <c r="D124" s="1464"/>
    </row>
    <row r="125" spans="2:4" ht="37.5">
      <c r="B125" s="1461"/>
      <c r="C125" s="228" t="s">
        <v>228</v>
      </c>
      <c r="D125" s="1464"/>
    </row>
    <row r="126" spans="2:4" ht="19.5" thickBot="1">
      <c r="B126" s="1462"/>
      <c r="C126" s="229" t="s">
        <v>229</v>
      </c>
      <c r="D126" s="1465"/>
    </row>
    <row r="127" spans="2:4" ht="18.75">
      <c r="B127" s="1460" t="s">
        <v>253</v>
      </c>
      <c r="C127" s="228" t="s">
        <v>230</v>
      </c>
      <c r="D127" s="1463" t="s">
        <v>231</v>
      </c>
    </row>
    <row r="128" spans="2:4" ht="18.75">
      <c r="B128" s="1461"/>
      <c r="C128" s="228" t="s">
        <v>232</v>
      </c>
      <c r="D128" s="1464"/>
    </row>
    <row r="129" spans="2:5" ht="29.25" customHeight="1" thickBot="1">
      <c r="B129" s="1462"/>
      <c r="C129" s="229" t="s">
        <v>233</v>
      </c>
      <c r="D129" s="1465"/>
    </row>
    <row r="130" spans="2:5" ht="18.75">
      <c r="B130" s="1460" t="s">
        <v>254</v>
      </c>
      <c r="C130" s="244"/>
      <c r="D130" s="1463" t="s">
        <v>231</v>
      </c>
      <c r="E130" s="240"/>
    </row>
    <row r="131" spans="2:5" ht="18.75">
      <c r="B131" s="1461"/>
      <c r="C131" s="228" t="s">
        <v>234</v>
      </c>
      <c r="D131" s="1464"/>
    </row>
    <row r="132" spans="2:5" ht="19.5" thickBot="1">
      <c r="B132" s="1462"/>
      <c r="C132" s="229"/>
      <c r="D132" s="1465"/>
    </row>
    <row r="133" spans="2:5" ht="18.75">
      <c r="B133" s="241"/>
      <c r="C133" s="243"/>
      <c r="D133" s="242"/>
    </row>
    <row r="134" spans="2:5" ht="23.25" customHeight="1">
      <c r="B134" s="1453" t="s">
        <v>929</v>
      </c>
      <c r="C134" s="1454"/>
      <c r="D134" s="1454"/>
    </row>
    <row r="135" spans="2:5" ht="23.25" customHeight="1">
      <c r="B135" s="1453" t="s">
        <v>925</v>
      </c>
      <c r="C135" s="1454"/>
      <c r="D135" s="1454"/>
    </row>
    <row r="136" spans="2:5" ht="23.25" customHeight="1">
      <c r="B136" s="1453" t="s">
        <v>926</v>
      </c>
      <c r="C136" s="1454"/>
      <c r="D136" s="1454"/>
    </row>
    <row r="137" spans="2:5" ht="23.25" customHeight="1">
      <c r="B137" s="1453" t="s">
        <v>927</v>
      </c>
      <c r="C137" s="1454"/>
      <c r="D137" s="1454"/>
    </row>
    <row r="138" spans="2:5" ht="18.75">
      <c r="B138" s="223"/>
      <c r="C138" s="234"/>
      <c r="D138" s="234"/>
    </row>
    <row r="139" spans="2:5" ht="20.25" customHeight="1">
      <c r="B139" s="1457" t="s">
        <v>235</v>
      </c>
      <c r="C139" s="1458"/>
      <c r="D139" s="1458"/>
    </row>
    <row r="140" spans="2:5" ht="20.25" customHeight="1">
      <c r="B140" s="1451" t="s">
        <v>928</v>
      </c>
      <c r="C140" s="1452"/>
      <c r="D140" s="1452"/>
    </row>
    <row r="141" spans="2:5" ht="20.25" customHeight="1">
      <c r="B141" s="1451" t="s">
        <v>236</v>
      </c>
      <c r="C141" s="1452"/>
      <c r="D141" s="1452"/>
    </row>
    <row r="142" spans="2:5" ht="20.25" customHeight="1">
      <c r="B142" s="1467" t="s">
        <v>122</v>
      </c>
      <c r="C142" s="1456"/>
      <c r="D142" s="1456"/>
    </row>
    <row r="143" spans="2:5" ht="24" customHeight="1">
      <c r="B143" s="1453" t="s">
        <v>237</v>
      </c>
      <c r="C143" s="1466"/>
      <c r="D143" s="1466"/>
    </row>
    <row r="144" spans="2:5" ht="57" customHeight="1">
      <c r="B144" s="222"/>
    </row>
    <row r="145" spans="2:5" ht="57" customHeight="1">
      <c r="B145" s="222"/>
    </row>
    <row r="146" spans="2:5" ht="57" customHeight="1">
      <c r="B146" s="222"/>
      <c r="E146" s="240"/>
    </row>
    <row r="147" spans="2:5" ht="57" customHeight="1">
      <c r="B147" s="223"/>
    </row>
    <row r="148" spans="2:5" ht="57" customHeight="1">
      <c r="B148" s="233"/>
    </row>
    <row r="149" spans="2:5" ht="57" customHeight="1">
      <c r="B149" s="223"/>
      <c r="E149" s="240"/>
    </row>
    <row r="150" spans="2:5" ht="57" customHeight="1">
      <c r="B150" s="223"/>
    </row>
    <row r="151" spans="2:5" ht="57" customHeight="1">
      <c r="B151" s="223"/>
    </row>
    <row r="152" spans="2:5" ht="57" customHeight="1">
      <c r="B152" s="223"/>
    </row>
    <row r="153" spans="2:5" ht="57" customHeight="1">
      <c r="B153" s="223"/>
    </row>
    <row r="154" spans="2:5" ht="18.75">
      <c r="B154" s="223"/>
    </row>
  </sheetData>
  <mergeCells count="35">
    <mergeCell ref="B1:E1"/>
    <mergeCell ref="B3:E3"/>
    <mergeCell ref="B5:E5"/>
    <mergeCell ref="B11:D11"/>
    <mergeCell ref="B8:D8"/>
    <mergeCell ref="B6:D6"/>
    <mergeCell ref="B7:C7"/>
    <mergeCell ref="B143:D143"/>
    <mergeCell ref="B9:D9"/>
    <mergeCell ref="B10:D10"/>
    <mergeCell ref="D34:D35"/>
    <mergeCell ref="B36:B104"/>
    <mergeCell ref="B17:B28"/>
    <mergeCell ref="B127:B129"/>
    <mergeCell ref="D127:D129"/>
    <mergeCell ref="B29:B32"/>
    <mergeCell ref="B34:B35"/>
    <mergeCell ref="B12:D12"/>
    <mergeCell ref="B142:D142"/>
    <mergeCell ref="B134:D134"/>
    <mergeCell ref="B135:D135"/>
    <mergeCell ref="B137:D137"/>
    <mergeCell ref="B140:D140"/>
    <mergeCell ref="B141:D141"/>
    <mergeCell ref="B136:D136"/>
    <mergeCell ref="B14:D14"/>
    <mergeCell ref="B139:D139"/>
    <mergeCell ref="B13:D13"/>
    <mergeCell ref="B130:B132"/>
    <mergeCell ref="D130:D132"/>
    <mergeCell ref="D105:D126"/>
    <mergeCell ref="D36:D104"/>
    <mergeCell ref="D17:D28"/>
    <mergeCell ref="D29:D32"/>
    <mergeCell ref="B105:B12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67"/>
  <sheetViews>
    <sheetView workbookViewId="0">
      <selection activeCell="L4" sqref="L4"/>
    </sheetView>
  </sheetViews>
  <sheetFormatPr defaultRowHeight="18.75"/>
  <cols>
    <col min="1" max="1" width="36.7109375" style="1101" customWidth="1"/>
    <col min="2" max="2" width="16.28515625" style="233" customWidth="1"/>
    <col min="3" max="4" width="17.85546875" style="1260" customWidth="1"/>
    <col min="5" max="5" width="15.5703125" style="1260" customWidth="1"/>
    <col min="6" max="6" width="4.28515625" style="1260" customWidth="1"/>
    <col min="7" max="7" width="4.85546875" style="1260" customWidth="1"/>
    <col min="8" max="8" width="3.42578125" style="1260" customWidth="1"/>
    <col min="9" max="9" width="9" style="1260" hidden="1" customWidth="1"/>
    <col min="10" max="10" width="15.42578125" style="1260" customWidth="1"/>
    <col min="11" max="11" width="13.5703125" style="1260" customWidth="1"/>
    <col min="12" max="12" width="11.5703125" style="1260" customWidth="1"/>
    <col min="13" max="16384" width="9.140625" style="233"/>
  </cols>
  <sheetData>
    <row r="2" spans="1:12">
      <c r="A2" s="1105" t="s">
        <v>908</v>
      </c>
    </row>
    <row r="3" spans="1:12">
      <c r="B3" s="871"/>
    </row>
    <row r="4" spans="1:12">
      <c r="B4" s="224"/>
      <c r="J4" s="1260" t="s">
        <v>930</v>
      </c>
      <c r="L4" s="1275">
        <v>1</v>
      </c>
    </row>
    <row r="5" spans="1:12">
      <c r="B5" s="224"/>
      <c r="J5" s="1260" t="s">
        <v>106</v>
      </c>
    </row>
    <row r="6" spans="1:12">
      <c r="B6" s="224"/>
      <c r="J6" s="1260" t="s">
        <v>828</v>
      </c>
    </row>
    <row r="7" spans="1:12">
      <c r="B7" s="224"/>
    </row>
    <row r="8" spans="1:12">
      <c r="A8" s="1267" t="s">
        <v>931</v>
      </c>
      <c r="B8" s="224"/>
    </row>
    <row r="9" spans="1:12">
      <c r="B9" s="224"/>
    </row>
    <row r="10" spans="1:12" ht="23.25">
      <c r="A10" s="1484" t="s">
        <v>1419</v>
      </c>
      <c r="B10" s="1484"/>
      <c r="C10" s="1484"/>
      <c r="D10" s="1484"/>
      <c r="E10" s="1484"/>
      <c r="F10" s="1484"/>
      <c r="G10" s="1484"/>
      <c r="H10" s="1484"/>
      <c r="I10" s="1484"/>
      <c r="J10" s="1484"/>
      <c r="K10" s="1484"/>
      <c r="L10" s="1484"/>
    </row>
    <row r="11" spans="1:12" ht="78.75" customHeight="1">
      <c r="A11" s="1483" t="s">
        <v>1416</v>
      </c>
      <c r="B11" s="1483"/>
      <c r="C11" s="1483"/>
      <c r="D11" s="1483"/>
      <c r="E11" s="1483"/>
      <c r="F11" s="1483"/>
      <c r="G11" s="1483"/>
      <c r="H11" s="1483"/>
      <c r="I11" s="1483"/>
      <c r="J11" s="1483"/>
      <c r="K11" s="1483"/>
      <c r="L11" s="1483"/>
    </row>
    <row r="13" spans="1:12" ht="18.75" customHeight="1">
      <c r="A13" s="1477" t="s">
        <v>458</v>
      </c>
      <c r="B13" s="1486" t="s">
        <v>107</v>
      </c>
      <c r="C13" s="1476" t="s">
        <v>108</v>
      </c>
      <c r="D13" s="1476"/>
      <c r="E13" s="1474" t="s">
        <v>109</v>
      </c>
    </row>
    <row r="14" spans="1:12" ht="93" customHeight="1">
      <c r="A14" s="1478"/>
      <c r="B14" s="1486"/>
      <c r="C14" s="1257" t="s">
        <v>110</v>
      </c>
      <c r="D14" s="1257" t="s">
        <v>111</v>
      </c>
      <c r="E14" s="1475"/>
    </row>
    <row r="15" spans="1:12" ht="19.5" customHeight="1">
      <c r="A15" s="1479"/>
      <c r="B15" s="1486"/>
      <c r="C15" s="1258" t="s">
        <v>830</v>
      </c>
      <c r="D15" s="1258" t="s">
        <v>112</v>
      </c>
      <c r="E15" s="1258" t="s">
        <v>112</v>
      </c>
    </row>
    <row r="16" spans="1:12">
      <c r="A16" s="1480" t="str">
        <f>'Реквизиты организации'!C8</f>
        <v>МУ МПЖКХ Гусь-Железный</v>
      </c>
      <c r="B16" s="1257">
        <v>2020</v>
      </c>
      <c r="C16" s="1269">
        <f>'Свод долгосрочный '!K164</f>
        <v>751630.70846434741</v>
      </c>
      <c r="D16" s="1269">
        <f>'Свод долгосрочный '!K167</f>
        <v>859.46543765081412</v>
      </c>
      <c r="E16" s="1269">
        <f>'Свод долгосрочный '!K170</f>
        <v>2501.3420639178421</v>
      </c>
    </row>
    <row r="17" spans="1:12">
      <c r="A17" s="1481"/>
      <c r="B17" s="1257">
        <v>2021</v>
      </c>
      <c r="C17" s="1269">
        <f>'Свод долгосрочный '!M164</f>
        <v>667889.35063271073</v>
      </c>
      <c r="D17" s="1269">
        <f>'Свод долгосрочный '!M167</f>
        <v>900.69747684150718</v>
      </c>
      <c r="E17" s="1269">
        <f>'Свод долгосрочный '!M170</f>
        <v>2358.0442947725528</v>
      </c>
    </row>
    <row r="18" spans="1:12">
      <c r="A18" s="1481"/>
      <c r="B18" s="1257">
        <v>2022</v>
      </c>
      <c r="C18" s="1269">
        <f>'Свод долгосрочный '!N164</f>
        <v>696860.2163344376</v>
      </c>
      <c r="D18" s="1269">
        <f>'Свод долгосрочный '!N167</f>
        <v>934.11528845033547</v>
      </c>
      <c r="E18" s="1269">
        <f>'Свод долгосрочный '!N170</f>
        <v>2484.1454878967434</v>
      </c>
    </row>
    <row r="19" spans="1:12">
      <c r="A19" s="1481"/>
      <c r="B19" s="1257">
        <v>2023</v>
      </c>
      <c r="C19" s="1269">
        <f>'Свод долгосрочный '!O164</f>
        <v>695921.82028130675</v>
      </c>
      <c r="D19" s="1269">
        <f>'Свод долгосрочный '!O167</f>
        <v>986.42574460355399</v>
      </c>
      <c r="E19" s="1269">
        <f>'Свод долгосрочный '!O170</f>
        <v>2535.0117527296743</v>
      </c>
    </row>
    <row r="20" spans="1:12">
      <c r="A20" s="1482"/>
      <c r="B20" s="1257">
        <v>2024</v>
      </c>
      <c r="C20" s="1269">
        <f>'Свод долгосрочный '!P164</f>
        <v>694988.15260910045</v>
      </c>
      <c r="D20" s="1269">
        <f>'Свод долгосрочный '!P167</f>
        <v>1041.6655863013534</v>
      </c>
      <c r="E20" s="1269">
        <f>'Свод долгосрочный '!P170</f>
        <v>2588.8530116824345</v>
      </c>
    </row>
    <row r="21" spans="1:12" ht="10.5" customHeight="1">
      <c r="A21" s="233"/>
      <c r="C21" s="233"/>
      <c r="D21" s="233"/>
      <c r="E21" s="233"/>
      <c r="F21" s="1268"/>
    </row>
    <row r="22" spans="1:12" ht="39" customHeight="1">
      <c r="A22" s="1483" t="s">
        <v>829</v>
      </c>
      <c r="B22" s="1483"/>
      <c r="C22" s="1483"/>
      <c r="D22" s="1483"/>
      <c r="E22" s="1483"/>
      <c r="F22" s="1483"/>
      <c r="G22" s="1483"/>
      <c r="H22" s="1483"/>
      <c r="I22" s="1483"/>
      <c r="J22" s="1483"/>
      <c r="K22" s="1483"/>
      <c r="L22" s="1483"/>
    </row>
    <row r="23" spans="1:12" ht="9.75" customHeight="1">
      <c r="K23" s="1485"/>
      <c r="L23" s="1485"/>
    </row>
    <row r="24" spans="1:12" ht="243.75" customHeight="1">
      <c r="A24" s="1477" t="s">
        <v>458</v>
      </c>
      <c r="B24" s="1477" t="s">
        <v>107</v>
      </c>
      <c r="C24" s="1265" t="s">
        <v>459</v>
      </c>
      <c r="D24" s="1265" t="s">
        <v>113</v>
      </c>
      <c r="E24" s="1265" t="s">
        <v>460</v>
      </c>
      <c r="F24" s="1487" t="s">
        <v>1101</v>
      </c>
      <c r="G24" s="1488"/>
      <c r="H24" s="1488"/>
      <c r="I24" s="1489"/>
      <c r="J24" s="1266" t="s">
        <v>1102</v>
      </c>
      <c r="K24" s="1265" t="s">
        <v>1104</v>
      </c>
      <c r="L24" s="1265" t="s">
        <v>1105</v>
      </c>
    </row>
    <row r="25" spans="1:12" ht="25.5" customHeight="1">
      <c r="A25" s="1479"/>
      <c r="B25" s="1479"/>
      <c r="C25" s="1261" t="s">
        <v>461</v>
      </c>
      <c r="D25" s="1261" t="s">
        <v>280</v>
      </c>
      <c r="E25" s="1261" t="s">
        <v>280</v>
      </c>
      <c r="F25" s="1490" t="s">
        <v>280</v>
      </c>
      <c r="G25" s="1491"/>
      <c r="H25" s="1491"/>
      <c r="I25" s="1492"/>
      <c r="J25" s="1261" t="s">
        <v>1103</v>
      </c>
      <c r="K25" s="1261" t="s">
        <v>703</v>
      </c>
      <c r="L25" s="1261"/>
    </row>
    <row r="26" spans="1:12">
      <c r="A26" s="1102">
        <v>1</v>
      </c>
      <c r="B26" s="1102">
        <v>2</v>
      </c>
      <c r="C26" s="1262">
        <v>3</v>
      </c>
      <c r="D26" s="1262">
        <v>4</v>
      </c>
      <c r="E26" s="1262">
        <v>5</v>
      </c>
      <c r="F26" s="1490">
        <v>6</v>
      </c>
      <c r="G26" s="1491"/>
      <c r="H26" s="1491"/>
      <c r="I26" s="1492"/>
      <c r="J26" s="1262">
        <v>7</v>
      </c>
      <c r="K26" s="1262">
        <v>8</v>
      </c>
      <c r="L26" s="1262">
        <v>9</v>
      </c>
    </row>
    <row r="27" spans="1:12">
      <c r="A27" s="1480" t="str">
        <f>A16</f>
        <v>МУ МПЖКХ Гусь-Железный</v>
      </c>
      <c r="B27" s="1259">
        <v>2020</v>
      </c>
      <c r="C27" s="1270">
        <f>'Свод долгосрочный '!K23</f>
        <v>27287.982555635226</v>
      </c>
      <c r="D27" s="1271">
        <v>0.01</v>
      </c>
      <c r="E27" s="1258">
        <v>0.75</v>
      </c>
      <c r="F27" s="1493">
        <v>0.19646788462678239</v>
      </c>
      <c r="G27" s="1494"/>
      <c r="H27" s="1495"/>
      <c r="I27" s="1258"/>
      <c r="J27" s="1258">
        <v>2</v>
      </c>
      <c r="K27" s="1258">
        <v>1.3</v>
      </c>
      <c r="L27" s="1258">
        <v>0</v>
      </c>
    </row>
    <row r="28" spans="1:12">
      <c r="A28" s="1481"/>
      <c r="B28" s="1259">
        <v>2021</v>
      </c>
      <c r="C28" s="1270">
        <f>'Свод долгосрочный '!M23</f>
        <v>27208.150624737522</v>
      </c>
      <c r="D28" s="1271">
        <v>0.01</v>
      </c>
      <c r="E28" s="1258">
        <v>0.75</v>
      </c>
      <c r="F28" s="1493">
        <v>0.19646788462678239</v>
      </c>
      <c r="G28" s="1494"/>
      <c r="H28" s="1495"/>
      <c r="I28" s="1258"/>
      <c r="J28" s="1258">
        <v>2</v>
      </c>
      <c r="K28" s="1258">
        <f>K27</f>
        <v>1.3</v>
      </c>
      <c r="L28" s="1258">
        <v>0</v>
      </c>
    </row>
    <row r="29" spans="1:12">
      <c r="A29" s="1481"/>
      <c r="B29" s="1259">
        <v>2022</v>
      </c>
      <c r="C29" s="1270">
        <f>'Свод долгосрочный '!N23</f>
        <v>27138.49775913819</v>
      </c>
      <c r="D29" s="1271">
        <v>0.01</v>
      </c>
      <c r="E29" s="1258">
        <v>0.75</v>
      </c>
      <c r="F29" s="1493">
        <v>0.19646788462678239</v>
      </c>
      <c r="G29" s="1494"/>
      <c r="H29" s="1495"/>
      <c r="I29" s="1258"/>
      <c r="J29" s="1258">
        <v>2</v>
      </c>
      <c r="K29" s="1258">
        <f>K28</f>
        <v>1.3</v>
      </c>
      <c r="L29" s="1258">
        <v>0</v>
      </c>
    </row>
    <row r="30" spans="1:12">
      <c r="A30" s="1481"/>
      <c r="B30" s="1259">
        <v>2023</v>
      </c>
      <c r="C30" s="1270">
        <f>'Свод долгосрочный '!O23</f>
        <v>27095.07616272357</v>
      </c>
      <c r="D30" s="1271">
        <v>0.01</v>
      </c>
      <c r="E30" s="1258">
        <v>0.75</v>
      </c>
      <c r="F30" s="1493">
        <v>0.19646788462678239</v>
      </c>
      <c r="G30" s="1494"/>
      <c r="H30" s="1495"/>
      <c r="I30" s="1258"/>
      <c r="J30" s="1258">
        <f>J29</f>
        <v>2</v>
      </c>
      <c r="K30" s="1258">
        <f t="shared" ref="K30:K31" si="0">K29</f>
        <v>1.3</v>
      </c>
      <c r="L30" s="1258">
        <v>0</v>
      </c>
    </row>
    <row r="31" spans="1:12">
      <c r="A31" s="1482"/>
      <c r="B31" s="1259">
        <v>2024</v>
      </c>
      <c r="C31" s="1270">
        <f>'Свод долгосрочный '!P23</f>
        <v>27051.72404086321</v>
      </c>
      <c r="D31" s="1271">
        <v>0.01</v>
      </c>
      <c r="E31" s="1258">
        <v>0.75</v>
      </c>
      <c r="F31" s="1493">
        <v>0.19646788462678239</v>
      </c>
      <c r="G31" s="1494"/>
      <c r="H31" s="1495"/>
      <c r="I31" s="1258"/>
      <c r="J31" s="1258">
        <f>J30</f>
        <v>2</v>
      </c>
      <c r="K31" s="1258">
        <f t="shared" si="0"/>
        <v>1.3</v>
      </c>
      <c r="L31" s="1258">
        <v>0</v>
      </c>
    </row>
    <row r="32" spans="1:12" ht="19.5" customHeight="1">
      <c r="A32" s="233"/>
      <c r="C32" s="233"/>
      <c r="D32" s="233"/>
      <c r="E32" s="233"/>
      <c r="F32" s="1263"/>
      <c r="G32" s="1263"/>
      <c r="H32" s="1263"/>
    </row>
    <row r="33" spans="1:12" ht="6.75" customHeight="1">
      <c r="D33" s="1263"/>
      <c r="E33" s="1263"/>
      <c r="F33" s="1263"/>
      <c r="G33" s="1263"/>
      <c r="H33" s="1263"/>
    </row>
    <row r="34" spans="1:12" ht="135" customHeight="1">
      <c r="A34" s="1474" t="s">
        <v>907</v>
      </c>
      <c r="B34" s="1476" t="s">
        <v>107</v>
      </c>
      <c r="C34" s="1257" t="s">
        <v>114</v>
      </c>
      <c r="D34" s="1263"/>
      <c r="E34" s="1263"/>
    </row>
    <row r="35" spans="1:12">
      <c r="A35" s="1475"/>
      <c r="B35" s="1476"/>
      <c r="C35" s="1258" t="s">
        <v>285</v>
      </c>
      <c r="D35" s="1263"/>
      <c r="E35" s="1263"/>
    </row>
    <row r="36" spans="1:12">
      <c r="A36" s="1480" t="str">
        <f>A27</f>
        <v>МУ МПЖКХ Гусь-Железный</v>
      </c>
      <c r="B36" s="1259">
        <v>2020</v>
      </c>
      <c r="C36" s="1270">
        <f>'Свод долгосрочный '!K83</f>
        <v>37873.168138101537</v>
      </c>
      <c r="D36" s="1263"/>
      <c r="E36" s="1263"/>
    </row>
    <row r="37" spans="1:12">
      <c r="A37" s="1481"/>
      <c r="B37" s="1259">
        <v>2021</v>
      </c>
      <c r="C37" s="1270">
        <f>'Свод долгосрочный '!M83</f>
        <v>34152.922678214047</v>
      </c>
      <c r="D37" s="1263"/>
      <c r="E37" s="1263"/>
    </row>
    <row r="38" spans="1:12">
      <c r="A38" s="1481"/>
      <c r="B38" s="1259">
        <v>2022</v>
      </c>
      <c r="C38" s="1270">
        <f>'Свод долгосрочный '!N83</f>
        <v>35634.365278391269</v>
      </c>
      <c r="D38" s="1263"/>
      <c r="E38" s="1263"/>
    </row>
    <row r="39" spans="1:12">
      <c r="A39" s="1481"/>
      <c r="B39" s="1259">
        <v>2023</v>
      </c>
      <c r="C39" s="1270">
        <f>'Свод долгосрочный '!O83</f>
        <v>35586.37983317679</v>
      </c>
      <c r="D39" s="1263"/>
      <c r="E39" s="1263"/>
    </row>
    <row r="40" spans="1:12">
      <c r="A40" s="1482"/>
      <c r="B40" s="1259">
        <v>2024</v>
      </c>
      <c r="C40" s="1270">
        <f>'Свод долгосрочный '!P83</f>
        <v>35538.63617655792</v>
      </c>
      <c r="D40" s="1263"/>
      <c r="E40" s="1263"/>
    </row>
    <row r="43" spans="1:12">
      <c r="A43" s="237"/>
      <c r="B43" s="238"/>
      <c r="C43" s="1263"/>
      <c r="D43" s="1263"/>
      <c r="E43" s="1263"/>
      <c r="F43" s="1263"/>
      <c r="G43" s="1263"/>
      <c r="H43" s="1263"/>
    </row>
    <row r="44" spans="1:12">
      <c r="A44" s="237"/>
      <c r="B44" s="238"/>
      <c r="C44" s="1263"/>
      <c r="D44" s="1263"/>
      <c r="E44" s="1263"/>
      <c r="F44" s="1263"/>
      <c r="G44" s="1263"/>
      <c r="H44" s="1263"/>
    </row>
    <row r="45" spans="1:12">
      <c r="A45" s="237"/>
      <c r="B45" s="238"/>
      <c r="C45" s="1263"/>
      <c r="D45" s="1263"/>
      <c r="E45" s="1263"/>
      <c r="F45" s="1263"/>
      <c r="G45" s="1263"/>
      <c r="H45" s="1263"/>
    </row>
    <row r="46" spans="1:12">
      <c r="A46" s="237"/>
      <c r="B46" s="238"/>
      <c r="C46" s="1263"/>
      <c r="D46" s="1263"/>
      <c r="E46" s="1263"/>
      <c r="F46" s="1263"/>
      <c r="G46" s="1263"/>
      <c r="H46" s="1263"/>
    </row>
    <row r="47" spans="1:12" s="1273" customFormat="1" ht="65.25" customHeight="1">
      <c r="A47" s="1272" t="s">
        <v>1417</v>
      </c>
      <c r="C47" s="1260"/>
      <c r="D47" s="1274"/>
      <c r="F47" s="1263"/>
      <c r="G47" s="1263" t="s">
        <v>1418</v>
      </c>
      <c r="H47" s="1263"/>
      <c r="I47" s="1260"/>
      <c r="J47" s="1260"/>
      <c r="L47" s="1260"/>
    </row>
    <row r="50" spans="1:8">
      <c r="A50" s="1472" t="s">
        <v>117</v>
      </c>
      <c r="B50" s="1473"/>
      <c r="C50" s="1263"/>
      <c r="D50" s="1263"/>
      <c r="E50" s="1263"/>
      <c r="F50" s="1263"/>
      <c r="G50" s="1263"/>
      <c r="H50" s="1263"/>
    </row>
    <row r="67" spans="1:3" ht="30.75" customHeight="1">
      <c r="A67" s="1264" t="s">
        <v>123</v>
      </c>
      <c r="B67" s="1264"/>
      <c r="C67" s="1264"/>
    </row>
  </sheetData>
  <mergeCells count="24">
    <mergeCell ref="F30:H30"/>
    <mergeCell ref="F31:H31"/>
    <mergeCell ref="C13:D13"/>
    <mergeCell ref="E13:E14"/>
    <mergeCell ref="A36:A40"/>
    <mergeCell ref="F26:I26"/>
    <mergeCell ref="F27:H27"/>
    <mergeCell ref="F28:H28"/>
    <mergeCell ref="F29:H29"/>
    <mergeCell ref="A11:L11"/>
    <mergeCell ref="A10:L10"/>
    <mergeCell ref="K23:L23"/>
    <mergeCell ref="B13:B15"/>
    <mergeCell ref="B24:B25"/>
    <mergeCell ref="A24:A25"/>
    <mergeCell ref="F24:I24"/>
    <mergeCell ref="F25:I25"/>
    <mergeCell ref="A22:L22"/>
    <mergeCell ref="A50:B50"/>
    <mergeCell ref="A34:A35"/>
    <mergeCell ref="B34:B35"/>
    <mergeCell ref="A13:A15"/>
    <mergeCell ref="A16:A20"/>
    <mergeCell ref="A27:A31"/>
  </mergeCells>
  <pageMargins left="0.9055118110236221" right="0.70866141732283472" top="0.35433070866141736" bottom="0.35433070866141736" header="0" footer="0"/>
  <pageSetup paperSize="9" scale="5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>
    <tabColor rgb="FF00B050"/>
    <pageSetUpPr fitToPage="1"/>
  </sheetPr>
  <dimension ref="A1:G35"/>
  <sheetViews>
    <sheetView workbookViewId="0">
      <selection activeCell="B3" sqref="B3:G3"/>
    </sheetView>
  </sheetViews>
  <sheetFormatPr defaultRowHeight="12.75"/>
  <cols>
    <col min="2" max="2" width="65.42578125" customWidth="1"/>
    <col min="3" max="7" width="15.7109375" customWidth="1"/>
  </cols>
  <sheetData>
    <row r="1" spans="1:7">
      <c r="G1">
        <v>2</v>
      </c>
    </row>
    <row r="2" spans="1:7">
      <c r="A2" s="1"/>
      <c r="B2" s="1"/>
      <c r="C2" s="1"/>
      <c r="D2" s="1"/>
      <c r="E2" s="1"/>
      <c r="F2" s="1"/>
      <c r="G2" s="1"/>
    </row>
    <row r="3" spans="1:7" ht="18.75">
      <c r="A3" s="1"/>
      <c r="B3" s="1496" t="s">
        <v>832</v>
      </c>
      <c r="C3" s="1496"/>
      <c r="D3" s="1496"/>
      <c r="E3" s="1496"/>
      <c r="F3" s="1496"/>
      <c r="G3" s="1496"/>
    </row>
    <row r="4" spans="1:7" ht="18.75">
      <c r="A4" s="1"/>
      <c r="B4" s="233"/>
      <c r="C4" s="233"/>
      <c r="D4" s="233"/>
      <c r="E4" s="233"/>
      <c r="F4" s="233"/>
      <c r="G4" s="233"/>
    </row>
    <row r="5" spans="1:7" ht="18.75">
      <c r="A5" s="248" t="s">
        <v>241</v>
      </c>
      <c r="B5" s="249" t="s">
        <v>242</v>
      </c>
      <c r="C5" s="1497" t="s">
        <v>462</v>
      </c>
      <c r="D5" s="1497"/>
      <c r="E5" s="1497"/>
      <c r="F5" s="1497"/>
      <c r="G5" s="1497"/>
    </row>
    <row r="6" spans="1:7" ht="21.75" customHeight="1">
      <c r="A6" s="250">
        <v>1</v>
      </c>
      <c r="B6" s="251" t="s">
        <v>463</v>
      </c>
      <c r="C6" s="1498"/>
      <c r="D6" s="1499"/>
      <c r="E6" s="1499"/>
      <c r="F6" s="1499"/>
      <c r="G6" s="1500"/>
    </row>
    <row r="7" spans="1:7" ht="72.75" customHeight="1">
      <c r="A7" s="250"/>
      <c r="B7" s="251" t="s">
        <v>464</v>
      </c>
      <c r="C7" s="1501" t="s">
        <v>1128</v>
      </c>
      <c r="D7" s="1501"/>
      <c r="E7" s="1501"/>
      <c r="F7" s="1501"/>
      <c r="G7" s="1501"/>
    </row>
    <row r="8" spans="1:7" ht="21.75" customHeight="1">
      <c r="A8" s="250"/>
      <c r="B8" s="251" t="s">
        <v>465</v>
      </c>
      <c r="C8" s="1502" t="s">
        <v>1129</v>
      </c>
      <c r="D8" s="1502"/>
      <c r="E8" s="1502"/>
      <c r="F8" s="1502"/>
      <c r="G8" s="1502"/>
    </row>
    <row r="9" spans="1:7" ht="21.75" customHeight="1">
      <c r="A9" s="250">
        <v>2</v>
      </c>
      <c r="B9" s="251" t="s">
        <v>466</v>
      </c>
      <c r="C9" s="1502" t="s">
        <v>1130</v>
      </c>
      <c r="D9" s="1502"/>
      <c r="E9" s="1502"/>
      <c r="F9" s="1502"/>
      <c r="G9" s="1502"/>
    </row>
    <row r="10" spans="1:7" ht="21.75" customHeight="1">
      <c r="A10" s="250">
        <v>3</v>
      </c>
      <c r="B10" s="251" t="s">
        <v>467</v>
      </c>
      <c r="C10" s="1502"/>
      <c r="D10" s="1502"/>
      <c r="E10" s="1502"/>
      <c r="F10" s="1502"/>
      <c r="G10" s="1502"/>
    </row>
    <row r="11" spans="1:7" ht="21.75" customHeight="1">
      <c r="A11" s="250"/>
      <c r="B11" s="251" t="s">
        <v>468</v>
      </c>
      <c r="C11" s="1503" t="s">
        <v>1131</v>
      </c>
      <c r="D11" s="1503"/>
      <c r="E11" s="1503"/>
      <c r="F11" s="1503"/>
      <c r="G11" s="1503"/>
    </row>
    <row r="12" spans="1:7" ht="21.75" customHeight="1">
      <c r="A12" s="250"/>
      <c r="B12" s="251" t="s">
        <v>469</v>
      </c>
      <c r="C12" s="1503" t="s">
        <v>1131</v>
      </c>
      <c r="D12" s="1503"/>
      <c r="E12" s="1503"/>
      <c r="F12" s="1503"/>
      <c r="G12" s="1503"/>
    </row>
    <row r="13" spans="1:7" ht="21.75" customHeight="1">
      <c r="A13" s="250">
        <v>4</v>
      </c>
      <c r="B13" s="251" t="s">
        <v>470</v>
      </c>
      <c r="C13" s="1502" t="s">
        <v>1132</v>
      </c>
      <c r="D13" s="1502"/>
      <c r="E13" s="1502"/>
      <c r="F13" s="1502"/>
      <c r="G13" s="1502"/>
    </row>
    <row r="14" spans="1:7" ht="21.75" customHeight="1">
      <c r="A14" s="250">
        <v>5</v>
      </c>
      <c r="B14" s="251" t="s">
        <v>471</v>
      </c>
      <c r="C14" s="1502" t="s">
        <v>1133</v>
      </c>
      <c r="D14" s="1502"/>
      <c r="E14" s="1502"/>
      <c r="F14" s="1502"/>
      <c r="G14" s="1502"/>
    </row>
    <row r="15" spans="1:7" ht="21.75" customHeight="1">
      <c r="A15" s="250">
        <v>6</v>
      </c>
      <c r="B15" s="245" t="s">
        <v>116</v>
      </c>
      <c r="C15" s="1502" t="s">
        <v>1134</v>
      </c>
      <c r="D15" s="1502"/>
      <c r="E15" s="1502"/>
      <c r="F15" s="1502"/>
      <c r="G15" s="1502"/>
    </row>
    <row r="16" spans="1:7" ht="21.75" customHeight="1">
      <c r="A16" s="250">
        <v>7</v>
      </c>
      <c r="B16" s="245" t="s">
        <v>932</v>
      </c>
      <c r="C16" s="1504">
        <v>42</v>
      </c>
      <c r="D16" s="1504"/>
      <c r="E16" s="1504"/>
      <c r="F16" s="1504"/>
      <c r="G16" s="1504"/>
    </row>
    <row r="17" spans="1:7" ht="21.75" customHeight="1">
      <c r="A17" s="250">
        <v>8</v>
      </c>
      <c r="B17" s="246" t="s">
        <v>115</v>
      </c>
      <c r="C17" s="1502"/>
      <c r="D17" s="1502"/>
      <c r="E17" s="1502"/>
      <c r="F17" s="1502"/>
      <c r="G17" s="1502"/>
    </row>
    <row r="18" spans="1:7" ht="39.75" customHeight="1">
      <c r="A18" s="250">
        <v>9</v>
      </c>
      <c r="B18" s="245" t="s">
        <v>238</v>
      </c>
      <c r="C18" s="1502" t="s">
        <v>1130</v>
      </c>
      <c r="D18" s="1502"/>
      <c r="E18" s="1502"/>
      <c r="F18" s="1502"/>
      <c r="G18" s="1502"/>
    </row>
    <row r="19" spans="1:7" ht="21.75" customHeight="1">
      <c r="A19" s="250">
        <v>10</v>
      </c>
      <c r="B19" s="251" t="s">
        <v>472</v>
      </c>
      <c r="C19" s="1502" t="s">
        <v>1135</v>
      </c>
      <c r="D19" s="1502"/>
      <c r="E19" s="1502"/>
      <c r="F19" s="1502"/>
      <c r="G19" s="1502"/>
    </row>
    <row r="20" spans="1:7" ht="21.75" customHeight="1">
      <c r="A20" s="250"/>
      <c r="B20" s="251" t="s">
        <v>473</v>
      </c>
      <c r="C20" s="1502" t="s">
        <v>1136</v>
      </c>
      <c r="D20" s="1502"/>
      <c r="E20" s="1502"/>
      <c r="F20" s="1502"/>
      <c r="G20" s="1502"/>
    </row>
    <row r="21" spans="1:7" ht="21.75" customHeight="1">
      <c r="A21" s="250"/>
      <c r="B21" s="251" t="s">
        <v>474</v>
      </c>
      <c r="C21" s="1502" t="s">
        <v>1137</v>
      </c>
      <c r="D21" s="1502"/>
      <c r="E21" s="1502"/>
      <c r="F21" s="1502"/>
      <c r="G21" s="1502"/>
    </row>
    <row r="22" spans="1:7" ht="21.75" customHeight="1">
      <c r="A22" s="250">
        <v>11</v>
      </c>
      <c r="B22" s="251" t="s">
        <v>475</v>
      </c>
      <c r="C22" s="1502" t="s">
        <v>1138</v>
      </c>
      <c r="D22" s="1502"/>
      <c r="E22" s="1502"/>
      <c r="F22" s="1502"/>
      <c r="G22" s="1502"/>
    </row>
    <row r="23" spans="1:7" ht="21.75" customHeight="1">
      <c r="A23" s="250"/>
      <c r="B23" s="251" t="s">
        <v>473</v>
      </c>
      <c r="C23" s="1502" t="s">
        <v>1136</v>
      </c>
      <c r="D23" s="1502"/>
      <c r="E23" s="1502"/>
      <c r="F23" s="1502"/>
      <c r="G23" s="1502"/>
    </row>
    <row r="24" spans="1:7" ht="21.75" customHeight="1">
      <c r="A24" s="250">
        <v>12</v>
      </c>
      <c r="B24" s="251" t="s">
        <v>476</v>
      </c>
      <c r="C24" s="1502" t="s">
        <v>1139</v>
      </c>
      <c r="D24" s="1502"/>
      <c r="E24" s="1502"/>
      <c r="F24" s="1502"/>
      <c r="G24" s="1502"/>
    </row>
    <row r="25" spans="1:7" ht="21.75" customHeight="1">
      <c r="A25" s="250"/>
      <c r="B25" s="251" t="s">
        <v>473</v>
      </c>
      <c r="C25" s="1502" t="s">
        <v>1136</v>
      </c>
      <c r="D25" s="1502"/>
      <c r="E25" s="1502"/>
      <c r="F25" s="1502"/>
      <c r="G25" s="1502"/>
    </row>
    <row r="26" spans="1:7" ht="21.75" customHeight="1">
      <c r="A26" s="250">
        <v>13</v>
      </c>
      <c r="B26" s="251" t="s">
        <v>477</v>
      </c>
      <c r="C26" s="1502" t="s">
        <v>1140</v>
      </c>
      <c r="D26" s="1502"/>
      <c r="E26" s="1502"/>
      <c r="F26" s="1502"/>
      <c r="G26" s="1502"/>
    </row>
    <row r="27" spans="1:7" ht="21.75" customHeight="1">
      <c r="A27" s="250"/>
      <c r="B27" s="251" t="s">
        <v>473</v>
      </c>
      <c r="C27" s="1502" t="s">
        <v>1141</v>
      </c>
      <c r="D27" s="1502"/>
      <c r="E27" s="1502"/>
      <c r="F27" s="1502"/>
      <c r="G27" s="1502"/>
    </row>
    <row r="28" spans="1:7" ht="21.75" customHeight="1">
      <c r="A28" s="250">
        <v>14</v>
      </c>
      <c r="B28" s="251" t="s">
        <v>478</v>
      </c>
      <c r="C28" s="1502" t="s">
        <v>1139</v>
      </c>
      <c r="D28" s="1502"/>
      <c r="E28" s="1502"/>
      <c r="F28" s="1502"/>
      <c r="G28" s="1502"/>
    </row>
    <row r="29" spans="1:7" ht="21.75" customHeight="1">
      <c r="A29" s="250"/>
      <c r="B29" s="251" t="s">
        <v>473</v>
      </c>
      <c r="C29" s="1502" t="s">
        <v>1136</v>
      </c>
      <c r="D29" s="1502"/>
      <c r="E29" s="1502"/>
      <c r="F29" s="1502"/>
      <c r="G29" s="1502"/>
    </row>
    <row r="30" spans="1:7" ht="21.75" customHeight="1">
      <c r="A30" s="250"/>
      <c r="B30" s="251" t="s">
        <v>474</v>
      </c>
      <c r="C30" s="1502" t="s">
        <v>1142</v>
      </c>
      <c r="D30" s="1502"/>
      <c r="E30" s="1502"/>
      <c r="F30" s="1502"/>
      <c r="G30" s="1502"/>
    </row>
    <row r="31" spans="1:7" ht="21.75" customHeight="1">
      <c r="A31" s="250">
        <v>15</v>
      </c>
      <c r="B31" s="251" t="s">
        <v>479</v>
      </c>
      <c r="C31" s="1502"/>
      <c r="D31" s="1502"/>
      <c r="E31" s="1502"/>
      <c r="F31" s="1502"/>
      <c r="G31" s="1502"/>
    </row>
    <row r="32" spans="1:7" ht="21.75" customHeight="1">
      <c r="A32" s="250"/>
      <c r="B32" s="251" t="s">
        <v>480</v>
      </c>
      <c r="C32" s="1502" t="s">
        <v>1143</v>
      </c>
      <c r="D32" s="1502"/>
      <c r="E32" s="1502"/>
      <c r="F32" s="1502"/>
      <c r="G32" s="1502"/>
    </row>
    <row r="33" spans="1:7" ht="21.75" customHeight="1">
      <c r="A33" s="250"/>
      <c r="B33" s="251" t="s">
        <v>481</v>
      </c>
      <c r="C33" s="1502" t="s">
        <v>1144</v>
      </c>
      <c r="D33" s="1502"/>
      <c r="E33" s="1502"/>
      <c r="F33" s="1502"/>
      <c r="G33" s="1502"/>
    </row>
    <row r="34" spans="1:7" ht="23.25" customHeight="1">
      <c r="A34" s="250"/>
      <c r="B34" s="251" t="s">
        <v>482</v>
      </c>
      <c r="C34" s="1502" t="s">
        <v>1145</v>
      </c>
      <c r="D34" s="1502"/>
      <c r="E34" s="1502"/>
      <c r="F34" s="1502"/>
      <c r="G34" s="1502"/>
    </row>
    <row r="35" spans="1:7" ht="21.75" customHeight="1">
      <c r="A35" s="250"/>
      <c r="B35" s="251" t="s">
        <v>483</v>
      </c>
      <c r="C35" s="1502" t="s">
        <v>1146</v>
      </c>
      <c r="D35" s="1502"/>
      <c r="E35" s="1502"/>
      <c r="F35" s="1502"/>
      <c r="G35" s="1502"/>
    </row>
  </sheetData>
  <protectedRanges>
    <protectedRange sqref="G6" name="Диапазон1_1"/>
    <protectedRange sqref="G7:G35" name="Диапазон1_1_2"/>
  </protectedRanges>
  <mergeCells count="32">
    <mergeCell ref="C16:G16"/>
    <mergeCell ref="C19:G19"/>
    <mergeCell ref="C35:G35"/>
    <mergeCell ref="C29:G29"/>
    <mergeCell ref="C30:G30"/>
    <mergeCell ref="C31:G31"/>
    <mergeCell ref="C25:G25"/>
    <mergeCell ref="C28:G28"/>
    <mergeCell ref="C33:G33"/>
    <mergeCell ref="C34:G34"/>
    <mergeCell ref="C32:G32"/>
    <mergeCell ref="C9:G9"/>
    <mergeCell ref="C27:G27"/>
    <mergeCell ref="C12:G12"/>
    <mergeCell ref="C22:G22"/>
    <mergeCell ref="C23:G23"/>
    <mergeCell ref="C21:G21"/>
    <mergeCell ref="C10:G10"/>
    <mergeCell ref="C20:G20"/>
    <mergeCell ref="C24:G24"/>
    <mergeCell ref="C11:G11"/>
    <mergeCell ref="C15:G15"/>
    <mergeCell ref="C17:G17"/>
    <mergeCell ref="C18:G18"/>
    <mergeCell ref="C26:G26"/>
    <mergeCell ref="C13:G13"/>
    <mergeCell ref="C14:G14"/>
    <mergeCell ref="B3:G3"/>
    <mergeCell ref="C5:G5"/>
    <mergeCell ref="C6:G6"/>
    <mergeCell ref="C7:G7"/>
    <mergeCell ref="C8:G8"/>
  </mergeCells>
  <pageMargins left="0.7" right="0.7" top="0.75" bottom="0.75" header="0.3" footer="0.3"/>
  <pageSetup paperSize="9" scale="5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5">
    <tabColor indexed="26"/>
    <pageSetUpPr fitToPage="1"/>
  </sheetPr>
  <dimension ref="A1:AE56"/>
  <sheetViews>
    <sheetView topLeftCell="A3" workbookViewId="0">
      <selection activeCell="X37" sqref="X37"/>
    </sheetView>
  </sheetViews>
  <sheetFormatPr defaultColWidth="8" defaultRowHeight="12.75"/>
  <cols>
    <col min="1" max="1" width="8" style="31" customWidth="1"/>
    <col min="2" max="2" width="12.140625" style="31" customWidth="1"/>
    <col min="3" max="4" width="10.85546875" style="31" customWidth="1"/>
    <col min="5" max="5" width="11.85546875" style="31" customWidth="1"/>
    <col min="6" max="6" width="9.85546875" style="31" customWidth="1"/>
    <col min="7" max="10" width="10.7109375" style="31" customWidth="1"/>
    <col min="11" max="11" width="11.7109375" style="31" customWidth="1"/>
    <col min="12" max="12" width="10.85546875" style="31" customWidth="1"/>
    <col min="13" max="13" width="10" style="31" customWidth="1"/>
    <col min="14" max="14" width="12.140625" style="31" customWidth="1"/>
    <col min="15" max="15" width="10.28515625" style="31" customWidth="1"/>
    <col min="16" max="19" width="9.5703125" style="31" customWidth="1"/>
    <col min="20" max="20" width="10.7109375" style="31" customWidth="1"/>
    <col min="21" max="22" width="9.7109375" style="31" customWidth="1"/>
    <col min="23" max="23" width="8" style="31" customWidth="1"/>
    <col min="24" max="24" width="8" style="31"/>
    <col min="25" max="26" width="8" style="31" customWidth="1"/>
    <col min="27" max="27" width="8" style="31"/>
    <col min="28" max="29" width="8" style="31" customWidth="1"/>
    <col min="30" max="30" width="8" style="31"/>
    <col min="31" max="31" width="8" style="31" customWidth="1"/>
    <col min="32" max="16384" width="8" style="31"/>
  </cols>
  <sheetData>
    <row r="1" spans="1:31" hidden="1">
      <c r="A1" s="117"/>
      <c r="G1" s="33" t="s">
        <v>384</v>
      </c>
      <c r="H1" s="33"/>
      <c r="I1" s="33"/>
      <c r="J1" s="33"/>
      <c r="AE1" s="31">
        <v>3</v>
      </c>
    </row>
    <row r="2" spans="1:31" hidden="1"/>
    <row r="3" spans="1:31" ht="24.95" customHeight="1">
      <c r="A3" s="1513" t="s">
        <v>340</v>
      </c>
      <c r="B3" s="1513"/>
      <c r="C3" s="1513"/>
      <c r="D3" s="1513"/>
      <c r="E3" s="1513"/>
      <c r="F3" s="1513"/>
      <c r="G3" s="1513"/>
      <c r="H3" s="1398"/>
      <c r="I3" s="1398"/>
      <c r="J3" s="1398"/>
      <c r="AE3" s="31">
        <v>3</v>
      </c>
    </row>
    <row r="4" spans="1:31" hidden="1">
      <c r="A4" s="34"/>
      <c r="B4" s="34"/>
      <c r="C4" s="34"/>
      <c r="D4" s="34"/>
      <c r="E4" s="34"/>
      <c r="F4" s="34"/>
      <c r="G4" s="34"/>
      <c r="H4" s="1398"/>
      <c r="I4" s="1398"/>
      <c r="J4" s="1398"/>
    </row>
    <row r="5" spans="1:31" ht="38.1" customHeight="1">
      <c r="A5" s="1519" t="s">
        <v>341</v>
      </c>
      <c r="B5" s="1519"/>
      <c r="C5" s="1519"/>
      <c r="D5" s="1519"/>
      <c r="E5" s="1519"/>
      <c r="F5" s="1519"/>
      <c r="G5" s="1519"/>
      <c r="H5" s="1400"/>
      <c r="I5" s="1400"/>
      <c r="J5" s="1400"/>
    </row>
    <row r="6" spans="1:31" ht="19.5" thickBot="1">
      <c r="F6" s="271" t="s">
        <v>933</v>
      </c>
      <c r="G6" s="271"/>
      <c r="H6" s="271"/>
      <c r="I6" s="271" t="s">
        <v>1476</v>
      </c>
      <c r="J6" s="271"/>
      <c r="K6" s="271"/>
      <c r="L6" s="271" t="s">
        <v>934</v>
      </c>
      <c r="M6" s="271"/>
      <c r="N6" s="271"/>
      <c r="O6" s="271" t="s">
        <v>1431</v>
      </c>
      <c r="P6" s="271"/>
      <c r="Q6" s="271"/>
      <c r="R6" s="271" t="s">
        <v>938</v>
      </c>
      <c r="S6" s="271"/>
      <c r="T6" s="271"/>
      <c r="U6" s="271">
        <v>2021</v>
      </c>
      <c r="V6" s="271"/>
      <c r="W6" s="271"/>
      <c r="X6" s="271">
        <v>2022</v>
      </c>
      <c r="Y6" s="271"/>
      <c r="AA6" s="271">
        <v>2023</v>
      </c>
      <c r="AB6" s="271"/>
      <c r="AC6" s="271"/>
      <c r="AD6" s="271">
        <v>2024</v>
      </c>
    </row>
    <row r="7" spans="1:31" ht="102">
      <c r="A7" s="1514"/>
      <c r="B7" s="1518" t="s">
        <v>342</v>
      </c>
      <c r="C7" s="1518" t="s">
        <v>343</v>
      </c>
      <c r="D7" s="1518" t="s">
        <v>324</v>
      </c>
      <c r="E7" s="57" t="s">
        <v>344</v>
      </c>
      <c r="F7" s="75" t="s">
        <v>388</v>
      </c>
      <c r="G7" s="58" t="s">
        <v>345</v>
      </c>
      <c r="H7" s="1396" t="s">
        <v>344</v>
      </c>
      <c r="I7" s="75" t="s">
        <v>388</v>
      </c>
      <c r="J7" s="58" t="s">
        <v>345</v>
      </c>
      <c r="K7" s="57" t="s">
        <v>344</v>
      </c>
      <c r="L7" s="75" t="s">
        <v>388</v>
      </c>
      <c r="M7" s="58" t="s">
        <v>345</v>
      </c>
      <c r="N7" s="57" t="s">
        <v>344</v>
      </c>
      <c r="O7" s="75" t="s">
        <v>388</v>
      </c>
      <c r="P7" s="58" t="s">
        <v>345</v>
      </c>
      <c r="Q7" s="1307" t="s">
        <v>344</v>
      </c>
      <c r="R7" s="75" t="s">
        <v>388</v>
      </c>
      <c r="S7" s="58" t="s">
        <v>345</v>
      </c>
      <c r="T7" s="57" t="s">
        <v>344</v>
      </c>
      <c r="U7" s="75" t="s">
        <v>388</v>
      </c>
      <c r="V7" s="58" t="s">
        <v>345</v>
      </c>
      <c r="W7" s="57" t="s">
        <v>344</v>
      </c>
      <c r="X7" s="75" t="s">
        <v>388</v>
      </c>
      <c r="Y7" s="58" t="s">
        <v>345</v>
      </c>
      <c r="Z7" s="57" t="s">
        <v>344</v>
      </c>
      <c r="AA7" s="75" t="s">
        <v>388</v>
      </c>
      <c r="AB7" s="58" t="s">
        <v>345</v>
      </c>
      <c r="AC7" s="57" t="s">
        <v>344</v>
      </c>
      <c r="AD7" s="75" t="s">
        <v>388</v>
      </c>
      <c r="AE7" s="58" t="s">
        <v>345</v>
      </c>
    </row>
    <row r="8" spans="1:31" ht="25.5">
      <c r="A8" s="1515"/>
      <c r="B8" s="1511"/>
      <c r="C8" s="1511"/>
      <c r="D8" s="1511"/>
      <c r="E8" s="76" t="s">
        <v>389</v>
      </c>
      <c r="F8" s="36" t="s">
        <v>346</v>
      </c>
      <c r="G8" s="77" t="s">
        <v>390</v>
      </c>
      <c r="H8" s="76" t="s">
        <v>389</v>
      </c>
      <c r="I8" s="1394" t="s">
        <v>346</v>
      </c>
      <c r="J8" s="77" t="s">
        <v>390</v>
      </c>
      <c r="K8" s="76" t="s">
        <v>389</v>
      </c>
      <c r="L8" s="36" t="s">
        <v>346</v>
      </c>
      <c r="M8" s="77" t="s">
        <v>390</v>
      </c>
      <c r="N8" s="76" t="s">
        <v>389</v>
      </c>
      <c r="O8" s="36" t="s">
        <v>346</v>
      </c>
      <c r="P8" s="77" t="s">
        <v>390</v>
      </c>
      <c r="Q8" s="76" t="s">
        <v>389</v>
      </c>
      <c r="R8" s="1305" t="s">
        <v>346</v>
      </c>
      <c r="S8" s="77" t="s">
        <v>390</v>
      </c>
      <c r="T8" s="76" t="s">
        <v>389</v>
      </c>
      <c r="U8" s="36" t="s">
        <v>346</v>
      </c>
      <c r="V8" s="77" t="s">
        <v>390</v>
      </c>
      <c r="W8" s="76" t="s">
        <v>389</v>
      </c>
      <c r="X8" s="36" t="s">
        <v>346</v>
      </c>
      <c r="Y8" s="77" t="s">
        <v>390</v>
      </c>
      <c r="Z8" s="76" t="s">
        <v>389</v>
      </c>
      <c r="AA8" s="36" t="s">
        <v>346</v>
      </c>
      <c r="AB8" s="77" t="s">
        <v>390</v>
      </c>
      <c r="AC8" s="76" t="s">
        <v>389</v>
      </c>
      <c r="AD8" s="36" t="s">
        <v>346</v>
      </c>
      <c r="AE8" s="77" t="s">
        <v>390</v>
      </c>
    </row>
    <row r="9" spans="1:31" ht="23.25" thickBot="1">
      <c r="A9" s="67">
        <v>1</v>
      </c>
      <c r="B9" s="68">
        <f>+A9+1</f>
        <v>2</v>
      </c>
      <c r="C9" s="68">
        <f>+B9+1</f>
        <v>3</v>
      </c>
      <c r="D9" s="68">
        <f>+C9+1</f>
        <v>4</v>
      </c>
      <c r="E9" s="68">
        <f>+D9+1</f>
        <v>5</v>
      </c>
      <c r="F9" s="68">
        <f>+E9+1</f>
        <v>6</v>
      </c>
      <c r="G9" s="69" t="s">
        <v>348</v>
      </c>
      <c r="H9" s="68">
        <v>5</v>
      </c>
      <c r="I9" s="68">
        <v>6</v>
      </c>
      <c r="J9" s="69" t="s">
        <v>348</v>
      </c>
      <c r="K9" s="68">
        <v>5</v>
      </c>
      <c r="L9" s="68">
        <v>6</v>
      </c>
      <c r="M9" s="69" t="s">
        <v>348</v>
      </c>
      <c r="N9" s="68">
        <v>5</v>
      </c>
      <c r="O9" s="68">
        <v>6</v>
      </c>
      <c r="P9" s="69" t="s">
        <v>348</v>
      </c>
      <c r="Q9" s="68">
        <v>5</v>
      </c>
      <c r="R9" s="68">
        <v>6</v>
      </c>
      <c r="S9" s="69" t="s">
        <v>348</v>
      </c>
      <c r="T9" s="68">
        <v>5</v>
      </c>
      <c r="U9" s="68">
        <v>6</v>
      </c>
      <c r="V9" s="69" t="s">
        <v>348</v>
      </c>
      <c r="W9" s="68">
        <v>5</v>
      </c>
      <c r="X9" s="68">
        <v>6</v>
      </c>
      <c r="Y9" s="69" t="s">
        <v>348</v>
      </c>
      <c r="Z9" s="68">
        <v>5</v>
      </c>
      <c r="AA9" s="68">
        <v>6</v>
      </c>
      <c r="AB9" s="69" t="s">
        <v>348</v>
      </c>
      <c r="AC9" s="68">
        <v>5</v>
      </c>
      <c r="AD9" s="68">
        <v>6</v>
      </c>
      <c r="AE9" s="69" t="s">
        <v>348</v>
      </c>
    </row>
    <row r="10" spans="1:31">
      <c r="A10" s="1509" t="s">
        <v>325</v>
      </c>
      <c r="B10" s="79">
        <v>1150</v>
      </c>
      <c r="C10" s="71" t="s">
        <v>349</v>
      </c>
      <c r="D10" s="57" t="s">
        <v>350</v>
      </c>
      <c r="E10" s="71">
        <v>800</v>
      </c>
      <c r="F10" s="168"/>
      <c r="G10" s="72">
        <f>E10*F10/100</f>
        <v>0</v>
      </c>
      <c r="H10" s="71">
        <v>800</v>
      </c>
      <c r="I10" s="168"/>
      <c r="J10" s="72">
        <f>H10*I10/100</f>
        <v>0</v>
      </c>
      <c r="K10" s="71">
        <v>800</v>
      </c>
      <c r="L10" s="168"/>
      <c r="M10" s="72">
        <f>K10*L10/100</f>
        <v>0</v>
      </c>
      <c r="N10" s="71">
        <v>800</v>
      </c>
      <c r="O10" s="168"/>
      <c r="P10" s="72">
        <f>N10*O10/100</f>
        <v>0</v>
      </c>
      <c r="Q10" s="71">
        <v>800</v>
      </c>
      <c r="R10" s="168"/>
      <c r="S10" s="72">
        <f>Q10*R10/100</f>
        <v>0</v>
      </c>
      <c r="T10" s="71">
        <v>800</v>
      </c>
      <c r="U10" s="168"/>
      <c r="V10" s="72">
        <f>T10*U10/100</f>
        <v>0</v>
      </c>
      <c r="W10" s="71">
        <v>800</v>
      </c>
      <c r="X10" s="168"/>
      <c r="Y10" s="72">
        <f>W10*X10/100</f>
        <v>0</v>
      </c>
      <c r="Z10" s="71">
        <v>800</v>
      </c>
      <c r="AA10" s="168"/>
      <c r="AB10" s="72">
        <f>Z10*AA10/100</f>
        <v>0</v>
      </c>
      <c r="AC10" s="71">
        <v>800</v>
      </c>
      <c r="AD10" s="168"/>
      <c r="AE10" s="72">
        <f>AC10*AD10/100</f>
        <v>0</v>
      </c>
    </row>
    <row r="11" spans="1:31">
      <c r="A11" s="1510"/>
      <c r="B11" s="78">
        <v>750</v>
      </c>
      <c r="C11" s="38">
        <v>1</v>
      </c>
      <c r="D11" s="36" t="s">
        <v>350</v>
      </c>
      <c r="E11" s="38">
        <v>600</v>
      </c>
      <c r="F11" s="169"/>
      <c r="G11" s="59">
        <f t="shared" ref="G11:G29" si="0">E11*F11/100</f>
        <v>0</v>
      </c>
      <c r="H11" s="1395">
        <v>600</v>
      </c>
      <c r="I11" s="169"/>
      <c r="J11" s="59">
        <f t="shared" ref="J11:J29" si="1">H11*I11/100</f>
        <v>0</v>
      </c>
      <c r="K11" s="38">
        <v>600</v>
      </c>
      <c r="L11" s="169"/>
      <c r="M11" s="59">
        <f t="shared" ref="M11:M29" si="2">K11*L11/100</f>
        <v>0</v>
      </c>
      <c r="N11" s="38">
        <v>600</v>
      </c>
      <c r="O11" s="169"/>
      <c r="P11" s="59">
        <f t="shared" ref="P11:P29" si="3">N11*O11/100</f>
        <v>0</v>
      </c>
      <c r="Q11" s="1303">
        <v>600</v>
      </c>
      <c r="R11" s="169"/>
      <c r="S11" s="59">
        <f t="shared" ref="S11:S29" si="4">Q11*R11/100</f>
        <v>0</v>
      </c>
      <c r="T11" s="38">
        <v>600</v>
      </c>
      <c r="U11" s="169"/>
      <c r="V11" s="59">
        <f t="shared" ref="V11:V29" si="5">T11*U11/100</f>
        <v>0</v>
      </c>
      <c r="W11" s="38">
        <v>600</v>
      </c>
      <c r="X11" s="169"/>
      <c r="Y11" s="59">
        <f t="shared" ref="Y11:Y29" si="6">W11*X11/100</f>
        <v>0</v>
      </c>
      <c r="Z11" s="38">
        <v>600</v>
      </c>
      <c r="AA11" s="169"/>
      <c r="AB11" s="59">
        <f t="shared" ref="AB11:AB29" si="7">Z11*AA11/100</f>
        <v>0</v>
      </c>
      <c r="AC11" s="38">
        <v>600</v>
      </c>
      <c r="AD11" s="169"/>
      <c r="AE11" s="59">
        <f t="shared" ref="AE11:AE29" si="8">AC11*AD11/100</f>
        <v>0</v>
      </c>
    </row>
    <row r="12" spans="1:31">
      <c r="A12" s="1510"/>
      <c r="B12" s="1508" t="s">
        <v>351</v>
      </c>
      <c r="C12" s="1507">
        <v>1</v>
      </c>
      <c r="D12" s="36" t="s">
        <v>350</v>
      </c>
      <c r="E12" s="38">
        <v>400</v>
      </c>
      <c r="F12" s="169"/>
      <c r="G12" s="59">
        <f t="shared" si="0"/>
        <v>0</v>
      </c>
      <c r="H12" s="1395">
        <v>400</v>
      </c>
      <c r="I12" s="169"/>
      <c r="J12" s="59">
        <f t="shared" si="1"/>
        <v>0</v>
      </c>
      <c r="K12" s="38">
        <v>400</v>
      </c>
      <c r="L12" s="169"/>
      <c r="M12" s="59">
        <f t="shared" si="2"/>
        <v>0</v>
      </c>
      <c r="N12" s="38">
        <v>400</v>
      </c>
      <c r="O12" s="169"/>
      <c r="P12" s="59">
        <f t="shared" si="3"/>
        <v>0</v>
      </c>
      <c r="Q12" s="1303">
        <v>400</v>
      </c>
      <c r="R12" s="169"/>
      <c r="S12" s="59">
        <f t="shared" si="4"/>
        <v>0</v>
      </c>
      <c r="T12" s="38">
        <v>400</v>
      </c>
      <c r="U12" s="169"/>
      <c r="V12" s="59">
        <f t="shared" si="5"/>
        <v>0</v>
      </c>
      <c r="W12" s="38">
        <v>400</v>
      </c>
      <c r="X12" s="169"/>
      <c r="Y12" s="59">
        <f t="shared" si="6"/>
        <v>0</v>
      </c>
      <c r="Z12" s="38">
        <v>400</v>
      </c>
      <c r="AA12" s="169"/>
      <c r="AB12" s="59">
        <f t="shared" si="7"/>
        <v>0</v>
      </c>
      <c r="AC12" s="38">
        <v>400</v>
      </c>
      <c r="AD12" s="169"/>
      <c r="AE12" s="59">
        <f t="shared" si="8"/>
        <v>0</v>
      </c>
    </row>
    <row r="13" spans="1:31">
      <c r="A13" s="1510"/>
      <c r="B13" s="1508"/>
      <c r="C13" s="1507"/>
      <c r="D13" s="36" t="s">
        <v>352</v>
      </c>
      <c r="E13" s="38">
        <v>300</v>
      </c>
      <c r="F13" s="169"/>
      <c r="G13" s="59">
        <f t="shared" si="0"/>
        <v>0</v>
      </c>
      <c r="H13" s="1395">
        <v>300</v>
      </c>
      <c r="I13" s="169"/>
      <c r="J13" s="59">
        <f t="shared" si="1"/>
        <v>0</v>
      </c>
      <c r="K13" s="38">
        <v>300</v>
      </c>
      <c r="L13" s="169"/>
      <c r="M13" s="59">
        <f t="shared" si="2"/>
        <v>0</v>
      </c>
      <c r="N13" s="38">
        <v>300</v>
      </c>
      <c r="O13" s="169"/>
      <c r="P13" s="59">
        <f t="shared" si="3"/>
        <v>0</v>
      </c>
      <c r="Q13" s="1303">
        <v>300</v>
      </c>
      <c r="R13" s="169"/>
      <c r="S13" s="59">
        <f t="shared" si="4"/>
        <v>0</v>
      </c>
      <c r="T13" s="38">
        <v>300</v>
      </c>
      <c r="U13" s="169"/>
      <c r="V13" s="59">
        <f t="shared" si="5"/>
        <v>0</v>
      </c>
      <c r="W13" s="38">
        <v>300</v>
      </c>
      <c r="X13" s="169"/>
      <c r="Y13" s="59">
        <f t="shared" si="6"/>
        <v>0</v>
      </c>
      <c r="Z13" s="38">
        <v>300</v>
      </c>
      <c r="AA13" s="169"/>
      <c r="AB13" s="59">
        <f t="shared" si="7"/>
        <v>0</v>
      </c>
      <c r="AC13" s="38">
        <v>300</v>
      </c>
      <c r="AD13" s="169"/>
      <c r="AE13" s="59">
        <f t="shared" si="8"/>
        <v>0</v>
      </c>
    </row>
    <row r="14" spans="1:31">
      <c r="A14" s="1510"/>
      <c r="B14" s="1508">
        <v>330</v>
      </c>
      <c r="C14" s="1507">
        <v>1</v>
      </c>
      <c r="D14" s="36" t="s">
        <v>350</v>
      </c>
      <c r="E14" s="38">
        <v>230</v>
      </c>
      <c r="F14" s="169"/>
      <c r="G14" s="59">
        <f t="shared" si="0"/>
        <v>0</v>
      </c>
      <c r="H14" s="1395">
        <v>230</v>
      </c>
      <c r="I14" s="169"/>
      <c r="J14" s="59">
        <f t="shared" si="1"/>
        <v>0</v>
      </c>
      <c r="K14" s="38">
        <v>230</v>
      </c>
      <c r="L14" s="169"/>
      <c r="M14" s="59">
        <f t="shared" si="2"/>
        <v>0</v>
      </c>
      <c r="N14" s="38">
        <v>230</v>
      </c>
      <c r="O14" s="169"/>
      <c r="P14" s="59">
        <f t="shared" si="3"/>
        <v>0</v>
      </c>
      <c r="Q14" s="1303">
        <v>230</v>
      </c>
      <c r="R14" s="169"/>
      <c r="S14" s="59">
        <f t="shared" si="4"/>
        <v>0</v>
      </c>
      <c r="T14" s="38">
        <v>230</v>
      </c>
      <c r="U14" s="169"/>
      <c r="V14" s="59">
        <f t="shared" si="5"/>
        <v>0</v>
      </c>
      <c r="W14" s="38">
        <v>230</v>
      </c>
      <c r="X14" s="169"/>
      <c r="Y14" s="59">
        <f t="shared" si="6"/>
        <v>0</v>
      </c>
      <c r="Z14" s="38">
        <v>230</v>
      </c>
      <c r="AA14" s="169"/>
      <c r="AB14" s="59">
        <f t="shared" si="7"/>
        <v>0</v>
      </c>
      <c r="AC14" s="38">
        <v>230</v>
      </c>
      <c r="AD14" s="169"/>
      <c r="AE14" s="59">
        <f t="shared" si="8"/>
        <v>0</v>
      </c>
    </row>
    <row r="15" spans="1:31">
      <c r="A15" s="1510"/>
      <c r="B15" s="1508"/>
      <c r="C15" s="1507"/>
      <c r="D15" s="36" t="s">
        <v>352</v>
      </c>
      <c r="E15" s="38">
        <v>170</v>
      </c>
      <c r="F15" s="169"/>
      <c r="G15" s="59">
        <f t="shared" si="0"/>
        <v>0</v>
      </c>
      <c r="H15" s="1395">
        <v>170</v>
      </c>
      <c r="I15" s="169"/>
      <c r="J15" s="59">
        <f t="shared" si="1"/>
        <v>0</v>
      </c>
      <c r="K15" s="38">
        <v>170</v>
      </c>
      <c r="L15" s="169"/>
      <c r="M15" s="59">
        <f t="shared" si="2"/>
        <v>0</v>
      </c>
      <c r="N15" s="38">
        <v>170</v>
      </c>
      <c r="O15" s="169"/>
      <c r="P15" s="59">
        <f t="shared" si="3"/>
        <v>0</v>
      </c>
      <c r="Q15" s="1303">
        <v>170</v>
      </c>
      <c r="R15" s="169"/>
      <c r="S15" s="59">
        <f t="shared" si="4"/>
        <v>0</v>
      </c>
      <c r="T15" s="38">
        <v>170</v>
      </c>
      <c r="U15" s="169"/>
      <c r="V15" s="59">
        <f t="shared" si="5"/>
        <v>0</v>
      </c>
      <c r="W15" s="38">
        <v>170</v>
      </c>
      <c r="X15" s="169"/>
      <c r="Y15" s="59">
        <f t="shared" si="6"/>
        <v>0</v>
      </c>
      <c r="Z15" s="38">
        <v>170</v>
      </c>
      <c r="AA15" s="169"/>
      <c r="AB15" s="59">
        <f t="shared" si="7"/>
        <v>0</v>
      </c>
      <c r="AC15" s="38">
        <v>170</v>
      </c>
      <c r="AD15" s="169"/>
      <c r="AE15" s="59">
        <f t="shared" si="8"/>
        <v>0</v>
      </c>
    </row>
    <row r="16" spans="1:31">
      <c r="A16" s="1510"/>
      <c r="B16" s="1508"/>
      <c r="C16" s="1507">
        <v>2</v>
      </c>
      <c r="D16" s="36" t="s">
        <v>350</v>
      </c>
      <c r="E16" s="38">
        <v>290</v>
      </c>
      <c r="F16" s="169"/>
      <c r="G16" s="59">
        <f t="shared" si="0"/>
        <v>0</v>
      </c>
      <c r="H16" s="1395">
        <v>290</v>
      </c>
      <c r="I16" s="169"/>
      <c r="J16" s="59">
        <f t="shared" si="1"/>
        <v>0</v>
      </c>
      <c r="K16" s="38">
        <v>290</v>
      </c>
      <c r="L16" s="169"/>
      <c r="M16" s="59">
        <f t="shared" si="2"/>
        <v>0</v>
      </c>
      <c r="N16" s="38">
        <v>290</v>
      </c>
      <c r="O16" s="169"/>
      <c r="P16" s="59">
        <f t="shared" si="3"/>
        <v>0</v>
      </c>
      <c r="Q16" s="1303">
        <v>290</v>
      </c>
      <c r="R16" s="169"/>
      <c r="S16" s="59">
        <f t="shared" si="4"/>
        <v>0</v>
      </c>
      <c r="T16" s="38">
        <v>290</v>
      </c>
      <c r="U16" s="169"/>
      <c r="V16" s="59">
        <f t="shared" si="5"/>
        <v>0</v>
      </c>
      <c r="W16" s="38">
        <v>290</v>
      </c>
      <c r="X16" s="169"/>
      <c r="Y16" s="59">
        <f t="shared" si="6"/>
        <v>0</v>
      </c>
      <c r="Z16" s="38">
        <v>290</v>
      </c>
      <c r="AA16" s="169"/>
      <c r="AB16" s="59">
        <f t="shared" si="7"/>
        <v>0</v>
      </c>
      <c r="AC16" s="38">
        <v>290</v>
      </c>
      <c r="AD16" s="169"/>
      <c r="AE16" s="59">
        <f t="shared" si="8"/>
        <v>0</v>
      </c>
    </row>
    <row r="17" spans="1:31">
      <c r="A17" s="1510"/>
      <c r="B17" s="1508"/>
      <c r="C17" s="1507"/>
      <c r="D17" s="36" t="s">
        <v>352</v>
      </c>
      <c r="E17" s="38">
        <v>210</v>
      </c>
      <c r="F17" s="169"/>
      <c r="G17" s="59">
        <f t="shared" si="0"/>
        <v>0</v>
      </c>
      <c r="H17" s="1395">
        <v>210</v>
      </c>
      <c r="I17" s="169"/>
      <c r="J17" s="59">
        <f t="shared" si="1"/>
        <v>0</v>
      </c>
      <c r="K17" s="38">
        <v>210</v>
      </c>
      <c r="L17" s="169"/>
      <c r="M17" s="59">
        <f t="shared" si="2"/>
        <v>0</v>
      </c>
      <c r="N17" s="38">
        <v>210</v>
      </c>
      <c r="O17" s="169"/>
      <c r="P17" s="59">
        <f t="shared" si="3"/>
        <v>0</v>
      </c>
      <c r="Q17" s="1303">
        <v>210</v>
      </c>
      <c r="R17" s="169"/>
      <c r="S17" s="59">
        <f t="shared" si="4"/>
        <v>0</v>
      </c>
      <c r="T17" s="38">
        <v>210</v>
      </c>
      <c r="U17" s="169"/>
      <c r="V17" s="59">
        <f t="shared" si="5"/>
        <v>0</v>
      </c>
      <c r="W17" s="38">
        <v>210</v>
      </c>
      <c r="X17" s="169"/>
      <c r="Y17" s="59">
        <f t="shared" si="6"/>
        <v>0</v>
      </c>
      <c r="Z17" s="38">
        <v>210</v>
      </c>
      <c r="AA17" s="169"/>
      <c r="AB17" s="59">
        <f t="shared" si="7"/>
        <v>0</v>
      </c>
      <c r="AC17" s="38">
        <v>210</v>
      </c>
      <c r="AD17" s="169"/>
      <c r="AE17" s="59">
        <f t="shared" si="8"/>
        <v>0</v>
      </c>
    </row>
    <row r="18" spans="1:31">
      <c r="A18" s="1510"/>
      <c r="B18" s="1516">
        <v>220</v>
      </c>
      <c r="C18" s="1517">
        <v>1</v>
      </c>
      <c r="D18" s="36" t="s">
        <v>326</v>
      </c>
      <c r="E18" s="41">
        <v>260</v>
      </c>
      <c r="F18" s="170"/>
      <c r="G18" s="59">
        <f t="shared" si="0"/>
        <v>0</v>
      </c>
      <c r="H18" s="41">
        <v>260</v>
      </c>
      <c r="I18" s="170"/>
      <c r="J18" s="59">
        <f t="shared" si="1"/>
        <v>0</v>
      </c>
      <c r="K18" s="41">
        <v>260</v>
      </c>
      <c r="L18" s="170"/>
      <c r="M18" s="59">
        <f t="shared" si="2"/>
        <v>0</v>
      </c>
      <c r="N18" s="41">
        <v>260</v>
      </c>
      <c r="O18" s="170"/>
      <c r="P18" s="59">
        <f t="shared" si="3"/>
        <v>0</v>
      </c>
      <c r="Q18" s="41">
        <v>260</v>
      </c>
      <c r="R18" s="170"/>
      <c r="S18" s="59">
        <f t="shared" si="4"/>
        <v>0</v>
      </c>
      <c r="T18" s="41">
        <v>260</v>
      </c>
      <c r="U18" s="170"/>
      <c r="V18" s="59">
        <f t="shared" si="5"/>
        <v>0</v>
      </c>
      <c r="W18" s="41">
        <v>260</v>
      </c>
      <c r="X18" s="170"/>
      <c r="Y18" s="59">
        <f t="shared" si="6"/>
        <v>0</v>
      </c>
      <c r="Z18" s="41">
        <v>260</v>
      </c>
      <c r="AA18" s="170"/>
      <c r="AB18" s="59">
        <f t="shared" si="7"/>
        <v>0</v>
      </c>
      <c r="AC18" s="41">
        <v>260</v>
      </c>
      <c r="AD18" s="170"/>
      <c r="AE18" s="59">
        <f t="shared" si="8"/>
        <v>0</v>
      </c>
    </row>
    <row r="19" spans="1:31">
      <c r="A19" s="1510"/>
      <c r="B19" s="1516"/>
      <c r="C19" s="1517"/>
      <c r="D19" s="36" t="s">
        <v>350</v>
      </c>
      <c r="E19" s="41">
        <v>210</v>
      </c>
      <c r="F19" s="171"/>
      <c r="G19" s="59">
        <f t="shared" si="0"/>
        <v>0</v>
      </c>
      <c r="H19" s="41">
        <v>210</v>
      </c>
      <c r="I19" s="171"/>
      <c r="J19" s="59">
        <f t="shared" si="1"/>
        <v>0</v>
      </c>
      <c r="K19" s="41">
        <v>210</v>
      </c>
      <c r="L19" s="171"/>
      <c r="M19" s="59">
        <f t="shared" si="2"/>
        <v>0</v>
      </c>
      <c r="N19" s="41">
        <v>210</v>
      </c>
      <c r="O19" s="171"/>
      <c r="P19" s="59">
        <f t="shared" si="3"/>
        <v>0</v>
      </c>
      <c r="Q19" s="41">
        <v>210</v>
      </c>
      <c r="R19" s="171"/>
      <c r="S19" s="59">
        <f t="shared" si="4"/>
        <v>0</v>
      </c>
      <c r="T19" s="41">
        <v>210</v>
      </c>
      <c r="U19" s="171"/>
      <c r="V19" s="59">
        <f t="shared" si="5"/>
        <v>0</v>
      </c>
      <c r="W19" s="41">
        <v>210</v>
      </c>
      <c r="X19" s="171"/>
      <c r="Y19" s="59">
        <f t="shared" si="6"/>
        <v>0</v>
      </c>
      <c r="Z19" s="41">
        <v>210</v>
      </c>
      <c r="AA19" s="171"/>
      <c r="AB19" s="59">
        <f t="shared" si="7"/>
        <v>0</v>
      </c>
      <c r="AC19" s="41">
        <v>210</v>
      </c>
      <c r="AD19" s="171"/>
      <c r="AE19" s="59">
        <f t="shared" si="8"/>
        <v>0</v>
      </c>
    </row>
    <row r="20" spans="1:31">
      <c r="A20" s="1510"/>
      <c r="B20" s="1516"/>
      <c r="C20" s="1517"/>
      <c r="D20" s="36" t="s">
        <v>352</v>
      </c>
      <c r="E20" s="41">
        <v>140</v>
      </c>
      <c r="F20" s="171"/>
      <c r="G20" s="59">
        <f t="shared" si="0"/>
        <v>0</v>
      </c>
      <c r="H20" s="41">
        <v>140</v>
      </c>
      <c r="I20" s="171"/>
      <c r="J20" s="59">
        <f t="shared" si="1"/>
        <v>0</v>
      </c>
      <c r="K20" s="41">
        <v>140</v>
      </c>
      <c r="L20" s="171"/>
      <c r="M20" s="59">
        <f t="shared" si="2"/>
        <v>0</v>
      </c>
      <c r="N20" s="41">
        <v>140</v>
      </c>
      <c r="O20" s="171"/>
      <c r="P20" s="59">
        <f t="shared" si="3"/>
        <v>0</v>
      </c>
      <c r="Q20" s="41">
        <v>140</v>
      </c>
      <c r="R20" s="171"/>
      <c r="S20" s="59">
        <f t="shared" si="4"/>
        <v>0</v>
      </c>
      <c r="T20" s="41">
        <v>140</v>
      </c>
      <c r="U20" s="171"/>
      <c r="V20" s="59">
        <f t="shared" si="5"/>
        <v>0</v>
      </c>
      <c r="W20" s="41">
        <v>140</v>
      </c>
      <c r="X20" s="171"/>
      <c r="Y20" s="59">
        <f t="shared" si="6"/>
        <v>0</v>
      </c>
      <c r="Z20" s="41">
        <v>140</v>
      </c>
      <c r="AA20" s="171"/>
      <c r="AB20" s="59">
        <f t="shared" si="7"/>
        <v>0</v>
      </c>
      <c r="AC20" s="41">
        <v>140</v>
      </c>
      <c r="AD20" s="171"/>
      <c r="AE20" s="59">
        <f t="shared" si="8"/>
        <v>0</v>
      </c>
    </row>
    <row r="21" spans="1:31">
      <c r="A21" s="1510"/>
      <c r="B21" s="1516"/>
      <c r="C21" s="1517">
        <v>2</v>
      </c>
      <c r="D21" s="36" t="s">
        <v>350</v>
      </c>
      <c r="E21" s="41">
        <v>270</v>
      </c>
      <c r="F21" s="170"/>
      <c r="G21" s="59">
        <f t="shared" si="0"/>
        <v>0</v>
      </c>
      <c r="H21" s="41">
        <v>270</v>
      </c>
      <c r="I21" s="170"/>
      <c r="J21" s="59">
        <f t="shared" si="1"/>
        <v>0</v>
      </c>
      <c r="K21" s="41">
        <v>270</v>
      </c>
      <c r="L21" s="170"/>
      <c r="M21" s="59">
        <f t="shared" si="2"/>
        <v>0</v>
      </c>
      <c r="N21" s="41">
        <v>270</v>
      </c>
      <c r="O21" s="170"/>
      <c r="P21" s="59">
        <f t="shared" si="3"/>
        <v>0</v>
      </c>
      <c r="Q21" s="41">
        <v>270</v>
      </c>
      <c r="R21" s="170"/>
      <c r="S21" s="59">
        <f t="shared" si="4"/>
        <v>0</v>
      </c>
      <c r="T21" s="41">
        <v>270</v>
      </c>
      <c r="U21" s="170"/>
      <c r="V21" s="59">
        <f t="shared" si="5"/>
        <v>0</v>
      </c>
      <c r="W21" s="41">
        <v>270</v>
      </c>
      <c r="X21" s="170"/>
      <c r="Y21" s="59">
        <f t="shared" si="6"/>
        <v>0</v>
      </c>
      <c r="Z21" s="41">
        <v>270</v>
      </c>
      <c r="AA21" s="170"/>
      <c r="AB21" s="59">
        <f t="shared" si="7"/>
        <v>0</v>
      </c>
      <c r="AC21" s="41">
        <v>270</v>
      </c>
      <c r="AD21" s="170"/>
      <c r="AE21" s="59">
        <f t="shared" si="8"/>
        <v>0</v>
      </c>
    </row>
    <row r="22" spans="1:31">
      <c r="A22" s="1510"/>
      <c r="B22" s="1516"/>
      <c r="C22" s="1517"/>
      <c r="D22" s="36" t="s">
        <v>352</v>
      </c>
      <c r="E22" s="41">
        <v>180</v>
      </c>
      <c r="F22" s="171"/>
      <c r="G22" s="59">
        <f t="shared" si="0"/>
        <v>0</v>
      </c>
      <c r="H22" s="41">
        <v>180</v>
      </c>
      <c r="I22" s="171"/>
      <c r="J22" s="59">
        <f t="shared" si="1"/>
        <v>0</v>
      </c>
      <c r="K22" s="41">
        <v>180</v>
      </c>
      <c r="L22" s="171"/>
      <c r="M22" s="59">
        <f t="shared" si="2"/>
        <v>0</v>
      </c>
      <c r="N22" s="41">
        <v>180</v>
      </c>
      <c r="O22" s="171"/>
      <c r="P22" s="59">
        <f t="shared" si="3"/>
        <v>0</v>
      </c>
      <c r="Q22" s="41">
        <v>180</v>
      </c>
      <c r="R22" s="171"/>
      <c r="S22" s="59">
        <f t="shared" si="4"/>
        <v>0</v>
      </c>
      <c r="T22" s="41">
        <v>180</v>
      </c>
      <c r="U22" s="171"/>
      <c r="V22" s="59">
        <f t="shared" si="5"/>
        <v>0</v>
      </c>
      <c r="W22" s="41">
        <v>180</v>
      </c>
      <c r="X22" s="171"/>
      <c r="Y22" s="59">
        <f t="shared" si="6"/>
        <v>0</v>
      </c>
      <c r="Z22" s="41">
        <v>180</v>
      </c>
      <c r="AA22" s="171"/>
      <c r="AB22" s="59">
        <f t="shared" si="7"/>
        <v>0</v>
      </c>
      <c r="AC22" s="41">
        <v>180</v>
      </c>
      <c r="AD22" s="171"/>
      <c r="AE22" s="59">
        <f t="shared" si="8"/>
        <v>0</v>
      </c>
    </row>
    <row r="23" spans="1:31">
      <c r="A23" s="1510"/>
      <c r="B23" s="1516" t="s">
        <v>353</v>
      </c>
      <c r="C23" s="1517">
        <v>1</v>
      </c>
      <c r="D23" s="36" t="s">
        <v>326</v>
      </c>
      <c r="E23" s="41">
        <v>180</v>
      </c>
      <c r="F23" s="170"/>
      <c r="G23" s="59">
        <f t="shared" si="0"/>
        <v>0</v>
      </c>
      <c r="H23" s="41">
        <v>180</v>
      </c>
      <c r="I23" s="170"/>
      <c r="J23" s="59">
        <f t="shared" si="1"/>
        <v>0</v>
      </c>
      <c r="K23" s="41">
        <v>180</v>
      </c>
      <c r="L23" s="170"/>
      <c r="M23" s="59">
        <f t="shared" si="2"/>
        <v>0</v>
      </c>
      <c r="N23" s="41">
        <v>180</v>
      </c>
      <c r="O23" s="170"/>
      <c r="P23" s="59">
        <f t="shared" si="3"/>
        <v>0</v>
      </c>
      <c r="Q23" s="41">
        <v>180</v>
      </c>
      <c r="R23" s="170"/>
      <c r="S23" s="59">
        <f t="shared" si="4"/>
        <v>0</v>
      </c>
      <c r="T23" s="41">
        <v>180</v>
      </c>
      <c r="U23" s="170"/>
      <c r="V23" s="59">
        <f t="shared" si="5"/>
        <v>0</v>
      </c>
      <c r="W23" s="41">
        <v>180</v>
      </c>
      <c r="X23" s="170"/>
      <c r="Y23" s="59">
        <f t="shared" si="6"/>
        <v>0</v>
      </c>
      <c r="Z23" s="41">
        <v>180</v>
      </c>
      <c r="AA23" s="170"/>
      <c r="AB23" s="59">
        <f t="shared" si="7"/>
        <v>0</v>
      </c>
      <c r="AC23" s="41">
        <v>180</v>
      </c>
      <c r="AD23" s="170"/>
      <c r="AE23" s="59">
        <f t="shared" si="8"/>
        <v>0</v>
      </c>
    </row>
    <row r="24" spans="1:31">
      <c r="A24" s="1510"/>
      <c r="B24" s="1516"/>
      <c r="C24" s="1517"/>
      <c r="D24" s="36" t="s">
        <v>350</v>
      </c>
      <c r="E24" s="41">
        <v>160</v>
      </c>
      <c r="F24" s="171"/>
      <c r="G24" s="59">
        <f t="shared" si="0"/>
        <v>0</v>
      </c>
      <c r="H24" s="41">
        <v>160</v>
      </c>
      <c r="I24" s="171"/>
      <c r="J24" s="59">
        <f t="shared" si="1"/>
        <v>0</v>
      </c>
      <c r="K24" s="41">
        <v>160</v>
      </c>
      <c r="L24" s="171"/>
      <c r="M24" s="59">
        <f t="shared" si="2"/>
        <v>0</v>
      </c>
      <c r="N24" s="41">
        <v>160</v>
      </c>
      <c r="O24" s="171"/>
      <c r="P24" s="59">
        <f t="shared" si="3"/>
        <v>0</v>
      </c>
      <c r="Q24" s="41">
        <v>160</v>
      </c>
      <c r="R24" s="171"/>
      <c r="S24" s="59">
        <f t="shared" si="4"/>
        <v>0</v>
      </c>
      <c r="T24" s="41">
        <v>160</v>
      </c>
      <c r="U24" s="171"/>
      <c r="V24" s="59">
        <f t="shared" si="5"/>
        <v>0</v>
      </c>
      <c r="W24" s="41">
        <v>160</v>
      </c>
      <c r="X24" s="171"/>
      <c r="Y24" s="59">
        <f t="shared" si="6"/>
        <v>0</v>
      </c>
      <c r="Z24" s="41">
        <v>160</v>
      </c>
      <c r="AA24" s="171"/>
      <c r="AB24" s="59">
        <f t="shared" si="7"/>
        <v>0</v>
      </c>
      <c r="AC24" s="41">
        <v>160</v>
      </c>
      <c r="AD24" s="171"/>
      <c r="AE24" s="59">
        <f t="shared" si="8"/>
        <v>0</v>
      </c>
    </row>
    <row r="25" spans="1:31">
      <c r="A25" s="1510"/>
      <c r="B25" s="1516"/>
      <c r="C25" s="1517"/>
      <c r="D25" s="36" t="s">
        <v>352</v>
      </c>
      <c r="E25" s="41">
        <v>130</v>
      </c>
      <c r="F25" s="171"/>
      <c r="G25" s="59">
        <f t="shared" si="0"/>
        <v>0</v>
      </c>
      <c r="H25" s="41">
        <v>130</v>
      </c>
      <c r="I25" s="171"/>
      <c r="J25" s="59">
        <f t="shared" si="1"/>
        <v>0</v>
      </c>
      <c r="K25" s="41">
        <v>130</v>
      </c>
      <c r="L25" s="171"/>
      <c r="M25" s="59">
        <f t="shared" si="2"/>
        <v>0</v>
      </c>
      <c r="N25" s="41">
        <v>130</v>
      </c>
      <c r="O25" s="171"/>
      <c r="P25" s="59">
        <f t="shared" si="3"/>
        <v>0</v>
      </c>
      <c r="Q25" s="41">
        <v>130</v>
      </c>
      <c r="R25" s="171"/>
      <c r="S25" s="59">
        <f t="shared" si="4"/>
        <v>0</v>
      </c>
      <c r="T25" s="41">
        <v>130</v>
      </c>
      <c r="U25" s="171"/>
      <c r="V25" s="59">
        <f t="shared" si="5"/>
        <v>0</v>
      </c>
      <c r="W25" s="41">
        <v>130</v>
      </c>
      <c r="X25" s="171"/>
      <c r="Y25" s="59">
        <f t="shared" si="6"/>
        <v>0</v>
      </c>
      <c r="Z25" s="41">
        <v>130</v>
      </c>
      <c r="AA25" s="171"/>
      <c r="AB25" s="59">
        <f t="shared" si="7"/>
        <v>0</v>
      </c>
      <c r="AC25" s="41">
        <v>130</v>
      </c>
      <c r="AD25" s="171"/>
      <c r="AE25" s="59">
        <f t="shared" si="8"/>
        <v>0</v>
      </c>
    </row>
    <row r="26" spans="1:31">
      <c r="A26" s="1510"/>
      <c r="B26" s="1516"/>
      <c r="C26" s="1517">
        <v>2</v>
      </c>
      <c r="D26" s="36" t="s">
        <v>350</v>
      </c>
      <c r="E26" s="41">
        <v>190</v>
      </c>
      <c r="F26" s="170"/>
      <c r="G26" s="59">
        <f t="shared" si="0"/>
        <v>0</v>
      </c>
      <c r="H26" s="41">
        <v>190</v>
      </c>
      <c r="I26" s="170"/>
      <c r="J26" s="59">
        <f t="shared" si="1"/>
        <v>0</v>
      </c>
      <c r="K26" s="41">
        <v>190</v>
      </c>
      <c r="L26" s="170"/>
      <c r="M26" s="59">
        <f t="shared" si="2"/>
        <v>0</v>
      </c>
      <c r="N26" s="41">
        <v>190</v>
      </c>
      <c r="O26" s="170"/>
      <c r="P26" s="59">
        <f t="shared" si="3"/>
        <v>0</v>
      </c>
      <c r="Q26" s="41">
        <v>190</v>
      </c>
      <c r="R26" s="170"/>
      <c r="S26" s="59">
        <f t="shared" si="4"/>
        <v>0</v>
      </c>
      <c r="T26" s="41">
        <v>190</v>
      </c>
      <c r="U26" s="170"/>
      <c r="V26" s="59">
        <f t="shared" si="5"/>
        <v>0</v>
      </c>
      <c r="W26" s="41">
        <v>190</v>
      </c>
      <c r="X26" s="170"/>
      <c r="Y26" s="59">
        <f t="shared" si="6"/>
        <v>0</v>
      </c>
      <c r="Z26" s="41">
        <v>190</v>
      </c>
      <c r="AA26" s="170"/>
      <c r="AB26" s="59">
        <f t="shared" si="7"/>
        <v>0</v>
      </c>
      <c r="AC26" s="41">
        <v>190</v>
      </c>
      <c r="AD26" s="170"/>
      <c r="AE26" s="59">
        <f t="shared" si="8"/>
        <v>0</v>
      </c>
    </row>
    <row r="27" spans="1:31">
      <c r="A27" s="1510"/>
      <c r="B27" s="1516"/>
      <c r="C27" s="1517"/>
      <c r="D27" s="36" t="s">
        <v>352</v>
      </c>
      <c r="E27" s="41">
        <v>160</v>
      </c>
      <c r="F27" s="171"/>
      <c r="G27" s="59">
        <f t="shared" si="0"/>
        <v>0</v>
      </c>
      <c r="H27" s="41">
        <v>160</v>
      </c>
      <c r="I27" s="171"/>
      <c r="J27" s="59">
        <f t="shared" si="1"/>
        <v>0</v>
      </c>
      <c r="K27" s="41">
        <v>160</v>
      </c>
      <c r="L27" s="171"/>
      <c r="M27" s="59">
        <f t="shared" si="2"/>
        <v>0</v>
      </c>
      <c r="N27" s="41">
        <v>160</v>
      </c>
      <c r="O27" s="171"/>
      <c r="P27" s="59">
        <f t="shared" si="3"/>
        <v>0</v>
      </c>
      <c r="Q27" s="41">
        <v>160</v>
      </c>
      <c r="R27" s="171"/>
      <c r="S27" s="59">
        <f t="shared" si="4"/>
        <v>0</v>
      </c>
      <c r="T27" s="41">
        <v>160</v>
      </c>
      <c r="U27" s="171"/>
      <c r="V27" s="59">
        <f t="shared" si="5"/>
        <v>0</v>
      </c>
      <c r="W27" s="41">
        <v>160</v>
      </c>
      <c r="X27" s="171"/>
      <c r="Y27" s="59">
        <f t="shared" si="6"/>
        <v>0</v>
      </c>
      <c r="Z27" s="41">
        <v>160</v>
      </c>
      <c r="AA27" s="171"/>
      <c r="AB27" s="59">
        <f t="shared" si="7"/>
        <v>0</v>
      </c>
      <c r="AC27" s="41">
        <v>160</v>
      </c>
      <c r="AD27" s="171"/>
      <c r="AE27" s="59">
        <f t="shared" si="8"/>
        <v>0</v>
      </c>
    </row>
    <row r="28" spans="1:31">
      <c r="A28" s="1510" t="s">
        <v>329</v>
      </c>
      <c r="B28" s="40">
        <v>220</v>
      </c>
      <c r="C28" s="38" t="s">
        <v>349</v>
      </c>
      <c r="D28" s="38" t="s">
        <v>349</v>
      </c>
      <c r="E28" s="41">
        <v>3000</v>
      </c>
      <c r="F28" s="171"/>
      <c r="G28" s="59">
        <f t="shared" si="0"/>
        <v>0</v>
      </c>
      <c r="H28" s="41">
        <v>3000</v>
      </c>
      <c r="I28" s="171"/>
      <c r="J28" s="59">
        <f t="shared" si="1"/>
        <v>0</v>
      </c>
      <c r="K28" s="41">
        <v>3000</v>
      </c>
      <c r="L28" s="171"/>
      <c r="M28" s="59">
        <f t="shared" si="2"/>
        <v>0</v>
      </c>
      <c r="N28" s="41">
        <v>3000</v>
      </c>
      <c r="O28" s="171"/>
      <c r="P28" s="59">
        <f t="shared" si="3"/>
        <v>0</v>
      </c>
      <c r="Q28" s="41">
        <v>3000</v>
      </c>
      <c r="R28" s="171"/>
      <c r="S28" s="59">
        <f t="shared" si="4"/>
        <v>0</v>
      </c>
      <c r="T28" s="41">
        <v>3000</v>
      </c>
      <c r="U28" s="171"/>
      <c r="V28" s="59">
        <f t="shared" si="5"/>
        <v>0</v>
      </c>
      <c r="W28" s="41">
        <v>3000</v>
      </c>
      <c r="X28" s="171"/>
      <c r="Y28" s="59">
        <f t="shared" si="6"/>
        <v>0</v>
      </c>
      <c r="Z28" s="41">
        <v>3000</v>
      </c>
      <c r="AA28" s="171"/>
      <c r="AB28" s="59">
        <f t="shared" si="7"/>
        <v>0</v>
      </c>
      <c r="AC28" s="41">
        <v>3000</v>
      </c>
      <c r="AD28" s="171"/>
      <c r="AE28" s="59">
        <f t="shared" si="8"/>
        <v>0</v>
      </c>
    </row>
    <row r="29" spans="1:31">
      <c r="A29" s="1510"/>
      <c r="B29" s="40">
        <v>110</v>
      </c>
      <c r="C29" s="38" t="s">
        <v>349</v>
      </c>
      <c r="D29" s="38" t="s">
        <v>349</v>
      </c>
      <c r="E29" s="41">
        <v>2300</v>
      </c>
      <c r="F29" s="171"/>
      <c r="G29" s="59">
        <f t="shared" si="0"/>
        <v>0</v>
      </c>
      <c r="H29" s="41">
        <v>2300</v>
      </c>
      <c r="I29" s="171"/>
      <c r="J29" s="59">
        <f t="shared" si="1"/>
        <v>0</v>
      </c>
      <c r="K29" s="41">
        <v>2300</v>
      </c>
      <c r="L29" s="171"/>
      <c r="M29" s="59">
        <f t="shared" si="2"/>
        <v>0</v>
      </c>
      <c r="N29" s="41">
        <v>2300</v>
      </c>
      <c r="O29" s="171"/>
      <c r="P29" s="59">
        <f t="shared" si="3"/>
        <v>0</v>
      </c>
      <c r="Q29" s="41">
        <v>2300</v>
      </c>
      <c r="R29" s="171"/>
      <c r="S29" s="59">
        <f t="shared" si="4"/>
        <v>0</v>
      </c>
      <c r="T29" s="41">
        <v>2300</v>
      </c>
      <c r="U29" s="171"/>
      <c r="V29" s="59">
        <f t="shared" si="5"/>
        <v>0</v>
      </c>
      <c r="W29" s="41">
        <v>2300</v>
      </c>
      <c r="X29" s="171"/>
      <c r="Y29" s="59">
        <f t="shared" si="6"/>
        <v>0</v>
      </c>
      <c r="Z29" s="41">
        <v>2300</v>
      </c>
      <c r="AA29" s="171"/>
      <c r="AB29" s="59">
        <f t="shared" si="7"/>
        <v>0</v>
      </c>
      <c r="AC29" s="41">
        <v>2300</v>
      </c>
      <c r="AD29" s="171"/>
      <c r="AE29" s="59">
        <f t="shared" si="8"/>
        <v>0</v>
      </c>
    </row>
    <row r="30" spans="1:31" ht="13.5" thickBot="1">
      <c r="A30" s="1527" t="s">
        <v>354</v>
      </c>
      <c r="B30" s="1528"/>
      <c r="C30" s="1528"/>
      <c r="D30" s="1528"/>
      <c r="E30" s="1528"/>
      <c r="F30" s="1529"/>
      <c r="G30" s="161">
        <f>SUM(G10:G29)</f>
        <v>0</v>
      </c>
      <c r="J30" s="161">
        <f>SUM(J10:J29)</f>
        <v>0</v>
      </c>
      <c r="M30" s="161">
        <f>SUM(M10:M29)</f>
        <v>0</v>
      </c>
      <c r="P30" s="161">
        <f>SUM(P10:P29)</f>
        <v>0</v>
      </c>
      <c r="S30" s="161">
        <f>SUM(S10:S29)</f>
        <v>0</v>
      </c>
      <c r="V30" s="161">
        <f>SUM(V10:V29)</f>
        <v>0</v>
      </c>
      <c r="Y30" s="161">
        <f>SUM(Y10:Y29)</f>
        <v>0</v>
      </c>
      <c r="AB30" s="161">
        <f>SUM(AB10:AB29)</f>
        <v>0</v>
      </c>
      <c r="AE30" s="161">
        <f>SUM(AE10:AE29)</f>
        <v>0</v>
      </c>
    </row>
    <row r="31" spans="1:31">
      <c r="A31" s="1530" t="s">
        <v>325</v>
      </c>
      <c r="B31" s="1531">
        <v>35</v>
      </c>
      <c r="C31" s="1535">
        <v>1</v>
      </c>
      <c r="D31" s="57" t="s">
        <v>326</v>
      </c>
      <c r="E31" s="73">
        <v>170</v>
      </c>
      <c r="F31" s="168"/>
      <c r="G31" s="72">
        <f>E31*F31/100</f>
        <v>0</v>
      </c>
      <c r="H31" s="73">
        <v>170</v>
      </c>
      <c r="I31" s="168"/>
      <c r="J31" s="72">
        <f>H31*I31/100</f>
        <v>0</v>
      </c>
      <c r="K31" s="73">
        <v>170</v>
      </c>
      <c r="L31" s="168"/>
      <c r="M31" s="72">
        <f>K31*L31/100</f>
        <v>0</v>
      </c>
      <c r="N31" s="73">
        <v>170</v>
      </c>
      <c r="O31" s="168"/>
      <c r="P31" s="72">
        <f>N31*O31/100</f>
        <v>0</v>
      </c>
      <c r="Q31" s="73">
        <v>170</v>
      </c>
      <c r="R31" s="168"/>
      <c r="S31" s="72">
        <f>Q31*R31/100</f>
        <v>0</v>
      </c>
      <c r="T31" s="73">
        <v>170</v>
      </c>
      <c r="U31" s="168"/>
      <c r="V31" s="72">
        <f>T31*U31/100</f>
        <v>0</v>
      </c>
      <c r="W31" s="73">
        <v>170</v>
      </c>
      <c r="X31" s="168"/>
      <c r="Y31" s="72">
        <f>W31*X31/100</f>
        <v>0</v>
      </c>
      <c r="Z31" s="73">
        <v>170</v>
      </c>
      <c r="AA31" s="168"/>
      <c r="AB31" s="72">
        <f>Z31*AA31/100</f>
        <v>0</v>
      </c>
      <c r="AC31" s="73">
        <v>170</v>
      </c>
      <c r="AD31" s="168"/>
      <c r="AE31" s="72">
        <f>AC31*AD31/100</f>
        <v>0</v>
      </c>
    </row>
    <row r="32" spans="1:31">
      <c r="A32" s="1506"/>
      <c r="B32" s="1532"/>
      <c r="C32" s="1512"/>
      <c r="D32" s="36" t="s">
        <v>350</v>
      </c>
      <c r="E32" s="41">
        <v>140</v>
      </c>
      <c r="F32" s="169"/>
      <c r="G32" s="59">
        <f>E32*F32/100</f>
        <v>0</v>
      </c>
      <c r="H32" s="41">
        <v>140</v>
      </c>
      <c r="I32" s="169"/>
      <c r="J32" s="59">
        <f>H32*I32/100</f>
        <v>0</v>
      </c>
      <c r="K32" s="41">
        <v>140</v>
      </c>
      <c r="L32" s="169"/>
      <c r="M32" s="59">
        <f>K32*L32/100</f>
        <v>0</v>
      </c>
      <c r="N32" s="41">
        <v>140</v>
      </c>
      <c r="O32" s="169"/>
      <c r="P32" s="59">
        <f>N32*O32/100</f>
        <v>0</v>
      </c>
      <c r="Q32" s="41">
        <v>140</v>
      </c>
      <c r="R32" s="169"/>
      <c r="S32" s="59">
        <f>Q32*R32/100</f>
        <v>0</v>
      </c>
      <c r="T32" s="41">
        <v>140</v>
      </c>
      <c r="U32" s="169"/>
      <c r="V32" s="59">
        <f>T32*U32/100</f>
        <v>0</v>
      </c>
      <c r="W32" s="41">
        <v>140</v>
      </c>
      <c r="X32" s="169"/>
      <c r="Y32" s="59">
        <f>W32*X32/100</f>
        <v>0</v>
      </c>
      <c r="Z32" s="41">
        <v>140</v>
      </c>
      <c r="AA32" s="169"/>
      <c r="AB32" s="59">
        <f>Z32*AA32/100</f>
        <v>0</v>
      </c>
      <c r="AC32" s="41">
        <v>140</v>
      </c>
      <c r="AD32" s="169"/>
      <c r="AE32" s="59">
        <f>AC32*AD32/100</f>
        <v>0</v>
      </c>
    </row>
    <row r="33" spans="1:31">
      <c r="A33" s="1506"/>
      <c r="B33" s="1532"/>
      <c r="C33" s="1512"/>
      <c r="D33" s="36" t="s">
        <v>352</v>
      </c>
      <c r="E33" s="41">
        <v>120</v>
      </c>
      <c r="F33" s="169"/>
      <c r="G33" s="59">
        <f t="shared" ref="G33:G40" si="9">E33*F33/100</f>
        <v>0</v>
      </c>
      <c r="H33" s="41">
        <v>120</v>
      </c>
      <c r="I33" s="169"/>
      <c r="J33" s="59">
        <f t="shared" ref="J33:J40" si="10">H33*I33/100</f>
        <v>0</v>
      </c>
      <c r="K33" s="41">
        <v>120</v>
      </c>
      <c r="L33" s="169"/>
      <c r="M33" s="59">
        <f t="shared" ref="M33:M40" si="11">K33*L33/100</f>
        <v>0</v>
      </c>
      <c r="N33" s="41">
        <v>120</v>
      </c>
      <c r="O33" s="169"/>
      <c r="P33" s="59">
        <f t="shared" ref="P33:P40" si="12">N33*O33/100</f>
        <v>0</v>
      </c>
      <c r="Q33" s="41">
        <v>120</v>
      </c>
      <c r="R33" s="169"/>
      <c r="S33" s="59">
        <f t="shared" ref="S33:S40" si="13">Q33*R33/100</f>
        <v>0</v>
      </c>
      <c r="T33" s="41">
        <v>120</v>
      </c>
      <c r="U33" s="169"/>
      <c r="V33" s="59">
        <f t="shared" ref="V33:V40" si="14">T33*U33/100</f>
        <v>0</v>
      </c>
      <c r="W33" s="41">
        <v>120</v>
      </c>
      <c r="X33" s="169"/>
      <c r="Y33" s="59">
        <f t="shared" ref="Y33:Y40" si="15">W33*X33/100</f>
        <v>0</v>
      </c>
      <c r="Z33" s="41">
        <v>120</v>
      </c>
      <c r="AA33" s="169"/>
      <c r="AB33" s="59">
        <f t="shared" ref="AB33:AB40" si="16">Z33*AA33/100</f>
        <v>0</v>
      </c>
      <c r="AC33" s="41">
        <v>120</v>
      </c>
      <c r="AD33" s="169"/>
      <c r="AE33" s="59">
        <f t="shared" ref="AE33:AE40" si="17">AC33*AD33/100</f>
        <v>0</v>
      </c>
    </row>
    <row r="34" spans="1:31">
      <c r="A34" s="1506"/>
      <c r="B34" s="1532"/>
      <c r="C34" s="1512">
        <v>2</v>
      </c>
      <c r="D34" s="36" t="s">
        <v>350</v>
      </c>
      <c r="E34" s="41">
        <v>180</v>
      </c>
      <c r="F34" s="169"/>
      <c r="G34" s="59">
        <f t="shared" si="9"/>
        <v>0</v>
      </c>
      <c r="H34" s="41">
        <v>180</v>
      </c>
      <c r="I34" s="169"/>
      <c r="J34" s="59">
        <f t="shared" si="10"/>
        <v>0</v>
      </c>
      <c r="K34" s="41">
        <v>180</v>
      </c>
      <c r="L34" s="169"/>
      <c r="M34" s="59">
        <f t="shared" si="11"/>
        <v>0</v>
      </c>
      <c r="N34" s="41">
        <v>180</v>
      </c>
      <c r="O34" s="169"/>
      <c r="P34" s="59">
        <f t="shared" si="12"/>
        <v>0</v>
      </c>
      <c r="Q34" s="41">
        <v>180</v>
      </c>
      <c r="R34" s="169"/>
      <c r="S34" s="59">
        <f t="shared" si="13"/>
        <v>0</v>
      </c>
      <c r="T34" s="41">
        <v>180</v>
      </c>
      <c r="U34" s="169"/>
      <c r="V34" s="59">
        <f t="shared" si="14"/>
        <v>0</v>
      </c>
      <c r="W34" s="41">
        <v>180</v>
      </c>
      <c r="X34" s="169"/>
      <c r="Y34" s="59">
        <f t="shared" si="15"/>
        <v>0</v>
      </c>
      <c r="Z34" s="41">
        <v>180</v>
      </c>
      <c r="AA34" s="169"/>
      <c r="AB34" s="59">
        <f t="shared" si="16"/>
        <v>0</v>
      </c>
      <c r="AC34" s="41">
        <v>180</v>
      </c>
      <c r="AD34" s="169"/>
      <c r="AE34" s="59">
        <f t="shared" si="17"/>
        <v>0</v>
      </c>
    </row>
    <row r="35" spans="1:31">
      <c r="A35" s="1506"/>
      <c r="B35" s="1532"/>
      <c r="C35" s="1512"/>
      <c r="D35" s="36" t="s">
        <v>352</v>
      </c>
      <c r="E35" s="41">
        <v>150</v>
      </c>
      <c r="F35" s="169"/>
      <c r="G35" s="59">
        <f t="shared" si="9"/>
        <v>0</v>
      </c>
      <c r="H35" s="41">
        <v>150</v>
      </c>
      <c r="I35" s="169"/>
      <c r="J35" s="59">
        <f t="shared" si="10"/>
        <v>0</v>
      </c>
      <c r="K35" s="41">
        <v>150</v>
      </c>
      <c r="L35" s="169"/>
      <c r="M35" s="59">
        <f t="shared" si="11"/>
        <v>0</v>
      </c>
      <c r="N35" s="41">
        <v>150</v>
      </c>
      <c r="O35" s="169"/>
      <c r="P35" s="59">
        <f t="shared" si="12"/>
        <v>0</v>
      </c>
      <c r="Q35" s="41">
        <v>150</v>
      </c>
      <c r="R35" s="169"/>
      <c r="S35" s="59">
        <f t="shared" si="13"/>
        <v>0</v>
      </c>
      <c r="T35" s="41">
        <v>150</v>
      </c>
      <c r="U35" s="169"/>
      <c r="V35" s="59">
        <f t="shared" si="14"/>
        <v>0</v>
      </c>
      <c r="W35" s="41">
        <v>150</v>
      </c>
      <c r="X35" s="169"/>
      <c r="Y35" s="59">
        <f t="shared" si="15"/>
        <v>0</v>
      </c>
      <c r="Z35" s="41">
        <v>150</v>
      </c>
      <c r="AA35" s="169"/>
      <c r="AB35" s="59">
        <f t="shared" si="16"/>
        <v>0</v>
      </c>
      <c r="AC35" s="41">
        <v>150</v>
      </c>
      <c r="AD35" s="169"/>
      <c r="AE35" s="59">
        <f t="shared" si="17"/>
        <v>0</v>
      </c>
    </row>
    <row r="36" spans="1:31">
      <c r="A36" s="1506"/>
      <c r="B36" s="1536" t="s">
        <v>355</v>
      </c>
      <c r="C36" s="1507" t="s">
        <v>349</v>
      </c>
      <c r="D36" s="41" t="s">
        <v>326</v>
      </c>
      <c r="E36" s="41">
        <v>160</v>
      </c>
      <c r="F36" s="169"/>
      <c r="G36" s="59">
        <f t="shared" si="9"/>
        <v>0</v>
      </c>
      <c r="H36" s="41">
        <v>160</v>
      </c>
      <c r="I36" s="169"/>
      <c r="J36" s="59">
        <f t="shared" si="10"/>
        <v>0</v>
      </c>
      <c r="K36" s="41">
        <v>160</v>
      </c>
      <c r="L36" s="169"/>
      <c r="M36" s="59">
        <f t="shared" si="11"/>
        <v>0</v>
      </c>
      <c r="N36" s="41">
        <v>160</v>
      </c>
      <c r="O36" s="169"/>
      <c r="P36" s="59">
        <f t="shared" si="12"/>
        <v>0</v>
      </c>
      <c r="Q36" s="41">
        <v>160</v>
      </c>
      <c r="R36" s="169"/>
      <c r="S36" s="59">
        <f t="shared" si="13"/>
        <v>0</v>
      </c>
      <c r="T36" s="41">
        <v>160</v>
      </c>
      <c r="U36" s="169"/>
      <c r="V36" s="59">
        <f t="shared" si="14"/>
        <v>0</v>
      </c>
      <c r="W36" s="41">
        <v>160</v>
      </c>
      <c r="X36" s="169"/>
      <c r="Y36" s="59">
        <f t="shared" si="15"/>
        <v>0</v>
      </c>
      <c r="Z36" s="41">
        <v>160</v>
      </c>
      <c r="AA36" s="169"/>
      <c r="AB36" s="59">
        <f t="shared" si="16"/>
        <v>0</v>
      </c>
      <c r="AC36" s="41">
        <v>160</v>
      </c>
      <c r="AD36" s="169"/>
      <c r="AE36" s="59">
        <f t="shared" si="17"/>
        <v>0</v>
      </c>
    </row>
    <row r="37" spans="1:31" ht="38.25">
      <c r="A37" s="1506"/>
      <c r="B37" s="1536"/>
      <c r="C37" s="1507"/>
      <c r="D37" s="45" t="s">
        <v>327</v>
      </c>
      <c r="E37" s="41">
        <v>140</v>
      </c>
      <c r="F37" s="1110">
        <f>'[6]ЛЭП 12.2018'!$Q$12</f>
        <v>7.0310000000000006</v>
      </c>
      <c r="G37" s="59">
        <f t="shared" si="9"/>
        <v>9.8434000000000008</v>
      </c>
      <c r="H37" s="41">
        <v>140</v>
      </c>
      <c r="I37" s="169">
        <v>7.0310000000000006</v>
      </c>
      <c r="J37" s="59">
        <f t="shared" si="10"/>
        <v>9.8434000000000008</v>
      </c>
      <c r="K37" s="41">
        <v>140</v>
      </c>
      <c r="L37" s="169">
        <v>4.5999999999999996</v>
      </c>
      <c r="M37" s="59">
        <f t="shared" si="11"/>
        <v>6.44</v>
      </c>
      <c r="N37" s="41">
        <v>140</v>
      </c>
      <c r="O37" s="169">
        <v>4.5999999999999996</v>
      </c>
      <c r="P37" s="59">
        <f t="shared" si="12"/>
        <v>6.44</v>
      </c>
      <c r="Q37" s="41">
        <v>140</v>
      </c>
      <c r="R37" s="169">
        <f>F37</f>
        <v>7.0310000000000006</v>
      </c>
      <c r="S37" s="59">
        <f t="shared" si="13"/>
        <v>9.8434000000000008</v>
      </c>
      <c r="T37" s="41">
        <v>140</v>
      </c>
      <c r="U37" s="169">
        <f>I37</f>
        <v>7.0310000000000006</v>
      </c>
      <c r="V37" s="59">
        <f t="shared" si="14"/>
        <v>9.8434000000000008</v>
      </c>
      <c r="W37" s="41">
        <v>140</v>
      </c>
      <c r="X37" s="169">
        <f>U37</f>
        <v>7.0310000000000006</v>
      </c>
      <c r="Y37" s="59">
        <f t="shared" si="15"/>
        <v>9.8434000000000008</v>
      </c>
      <c r="Z37" s="41">
        <v>140</v>
      </c>
      <c r="AA37" s="169">
        <f>X37</f>
        <v>7.0310000000000006</v>
      </c>
      <c r="AB37" s="59">
        <f t="shared" si="16"/>
        <v>9.8434000000000008</v>
      </c>
      <c r="AC37" s="41">
        <v>140</v>
      </c>
      <c r="AD37" s="169">
        <f>AA37</f>
        <v>7.0310000000000006</v>
      </c>
      <c r="AE37" s="59">
        <f t="shared" si="17"/>
        <v>9.8434000000000008</v>
      </c>
    </row>
    <row r="38" spans="1:31" ht="25.5">
      <c r="A38" s="1506"/>
      <c r="B38" s="1536"/>
      <c r="C38" s="1507"/>
      <c r="D38" s="45" t="s">
        <v>328</v>
      </c>
      <c r="E38" s="41">
        <v>110</v>
      </c>
      <c r="F38" s="1111">
        <f>'[6]ЛЭП 12.2018'!$Q$11-'[6]ЛЭП 12.2018'!$F$107</f>
        <v>48.254999999999995</v>
      </c>
      <c r="G38" s="59">
        <f t="shared" si="9"/>
        <v>53.080499999999994</v>
      </c>
      <c r="H38" s="41">
        <v>110</v>
      </c>
      <c r="I38" s="1113">
        <f>49.118+0.085</f>
        <v>49.203000000000003</v>
      </c>
      <c r="J38" s="59">
        <f t="shared" si="10"/>
        <v>54.1233</v>
      </c>
      <c r="K38" s="41">
        <v>110</v>
      </c>
      <c r="L38" s="169">
        <v>49.300999999999995</v>
      </c>
      <c r="M38" s="59">
        <f t="shared" si="11"/>
        <v>54.231099999999998</v>
      </c>
      <c r="N38" s="41">
        <v>110</v>
      </c>
      <c r="O38" s="1113">
        <f>[7]ЛЭП!$F$139-O37</f>
        <v>51.270999999999994</v>
      </c>
      <c r="P38" s="59">
        <f t="shared" si="12"/>
        <v>56.398099999999992</v>
      </c>
      <c r="Q38" s="41">
        <v>110</v>
      </c>
      <c r="R38" s="1113">
        <f>'[6]ЛЭП 12.2018'!$Q$11</f>
        <v>49.117999999999995</v>
      </c>
      <c r="S38" s="59">
        <f t="shared" si="13"/>
        <v>54.029799999999994</v>
      </c>
      <c r="T38" s="41">
        <v>110</v>
      </c>
      <c r="U38" s="1113">
        <f>I38</f>
        <v>49.203000000000003</v>
      </c>
      <c r="V38" s="59">
        <f t="shared" si="14"/>
        <v>54.1233</v>
      </c>
      <c r="W38" s="41">
        <v>110</v>
      </c>
      <c r="X38" s="1113">
        <f>U38</f>
        <v>49.203000000000003</v>
      </c>
      <c r="Y38" s="59">
        <f t="shared" si="15"/>
        <v>54.1233</v>
      </c>
      <c r="Z38" s="41">
        <v>110</v>
      </c>
      <c r="AA38" s="1113">
        <f>X38</f>
        <v>49.203000000000003</v>
      </c>
      <c r="AB38" s="59">
        <f t="shared" si="16"/>
        <v>54.1233</v>
      </c>
      <c r="AC38" s="41">
        <v>110</v>
      </c>
      <c r="AD38" s="1113">
        <f>AA38</f>
        <v>49.203000000000003</v>
      </c>
      <c r="AE38" s="59">
        <f t="shared" si="17"/>
        <v>54.1233</v>
      </c>
    </row>
    <row r="39" spans="1:31">
      <c r="A39" s="1510" t="s">
        <v>329</v>
      </c>
      <c r="B39" s="40" t="s">
        <v>356</v>
      </c>
      <c r="C39" s="38" t="s">
        <v>349</v>
      </c>
      <c r="D39" s="38" t="s">
        <v>349</v>
      </c>
      <c r="E39" s="41">
        <v>470</v>
      </c>
      <c r="F39" s="1112"/>
      <c r="G39" s="59">
        <f t="shared" si="9"/>
        <v>0</v>
      </c>
      <c r="H39" s="41">
        <v>470</v>
      </c>
      <c r="I39" s="169"/>
      <c r="J39" s="59">
        <f t="shared" si="10"/>
        <v>0</v>
      </c>
      <c r="K39" s="41">
        <v>470</v>
      </c>
      <c r="L39" s="169"/>
      <c r="M39" s="59">
        <f t="shared" si="11"/>
        <v>0</v>
      </c>
      <c r="N39" s="41">
        <v>470</v>
      </c>
      <c r="O39" s="169"/>
      <c r="P39" s="59">
        <f t="shared" si="12"/>
        <v>0</v>
      </c>
      <c r="Q39" s="41">
        <v>470</v>
      </c>
      <c r="R39" s="169"/>
      <c r="S39" s="59">
        <f t="shared" si="13"/>
        <v>0</v>
      </c>
      <c r="T39" s="41">
        <v>470</v>
      </c>
      <c r="U39" s="169"/>
      <c r="V39" s="59">
        <f t="shared" si="14"/>
        <v>0</v>
      </c>
      <c r="W39" s="41">
        <v>470</v>
      </c>
      <c r="X39" s="169"/>
      <c r="Y39" s="59">
        <f t="shared" si="15"/>
        <v>0</v>
      </c>
      <c r="Z39" s="41">
        <v>470</v>
      </c>
      <c r="AA39" s="169"/>
      <c r="AB39" s="59">
        <f t="shared" si="16"/>
        <v>0</v>
      </c>
      <c r="AC39" s="41">
        <v>470</v>
      </c>
      <c r="AD39" s="169"/>
      <c r="AE39" s="59">
        <f t="shared" si="17"/>
        <v>0</v>
      </c>
    </row>
    <row r="40" spans="1:31">
      <c r="A40" s="1533"/>
      <c r="B40" s="46" t="s">
        <v>357</v>
      </c>
      <c r="C40" s="47" t="s">
        <v>349</v>
      </c>
      <c r="D40" s="47" t="s">
        <v>349</v>
      </c>
      <c r="E40" s="48">
        <v>350</v>
      </c>
      <c r="F40" s="1319">
        <f>'[6]ЛЭП 12.2018'!$F$93</f>
        <v>3.1530000000000005</v>
      </c>
      <c r="G40" s="59">
        <f t="shared" si="9"/>
        <v>11.035500000000003</v>
      </c>
      <c r="H40" s="48">
        <v>350</v>
      </c>
      <c r="I40" s="267">
        <v>3.1530000000000005</v>
      </c>
      <c r="J40" s="268">
        <f t="shared" si="10"/>
        <v>11.035500000000003</v>
      </c>
      <c r="K40" s="48">
        <v>350</v>
      </c>
      <c r="L40" s="267">
        <v>3.153</v>
      </c>
      <c r="M40" s="268">
        <f t="shared" si="11"/>
        <v>11.035499999999999</v>
      </c>
      <c r="N40" s="48">
        <v>350</v>
      </c>
      <c r="O40" s="267">
        <v>3.7630000000000003</v>
      </c>
      <c r="P40" s="268">
        <f t="shared" si="12"/>
        <v>13.170500000000002</v>
      </c>
      <c r="Q40" s="48">
        <v>350</v>
      </c>
      <c r="R40" s="267">
        <f>F40</f>
        <v>3.1530000000000005</v>
      </c>
      <c r="S40" s="268">
        <f t="shared" si="13"/>
        <v>11.035500000000003</v>
      </c>
      <c r="T40" s="48">
        <v>350</v>
      </c>
      <c r="U40" s="267">
        <f>I40</f>
        <v>3.1530000000000005</v>
      </c>
      <c r="V40" s="268">
        <f t="shared" si="14"/>
        <v>11.035500000000003</v>
      </c>
      <c r="W40" s="48">
        <v>350</v>
      </c>
      <c r="X40" s="267">
        <f>U40</f>
        <v>3.1530000000000005</v>
      </c>
      <c r="Y40" s="268">
        <f t="shared" si="15"/>
        <v>11.035500000000003</v>
      </c>
      <c r="Z40" s="48">
        <v>350</v>
      </c>
      <c r="AA40" s="267">
        <f>X40</f>
        <v>3.1530000000000005</v>
      </c>
      <c r="AB40" s="268">
        <f t="shared" si="16"/>
        <v>11.035500000000003</v>
      </c>
      <c r="AC40" s="48">
        <v>350</v>
      </c>
      <c r="AD40" s="267">
        <f>AA40</f>
        <v>3.1530000000000005</v>
      </c>
      <c r="AE40" s="268">
        <f t="shared" si="17"/>
        <v>11.035500000000003</v>
      </c>
    </row>
    <row r="41" spans="1:31">
      <c r="A41" s="1524" t="s">
        <v>358</v>
      </c>
      <c r="B41" s="1525"/>
      <c r="C41" s="1525"/>
      <c r="D41" s="1525"/>
      <c r="E41" s="1525"/>
      <c r="F41" s="1526"/>
      <c r="G41" s="266">
        <f>G42+G43</f>
        <v>73.959400000000002</v>
      </c>
      <c r="H41" s="269"/>
      <c r="I41" s="269"/>
      <c r="J41" s="41">
        <f>J42+J43</f>
        <v>75.002200000000002</v>
      </c>
      <c r="K41" s="269"/>
      <c r="L41" s="269"/>
      <c r="M41" s="41">
        <f>M42+M43</f>
        <v>71.706599999999995</v>
      </c>
      <c r="N41" s="269"/>
      <c r="O41" s="269"/>
      <c r="P41" s="41">
        <f>P42+P43</f>
        <v>76.008599999999987</v>
      </c>
      <c r="Q41" s="269"/>
      <c r="R41" s="269"/>
      <c r="S41" s="41">
        <f>S42+S43</f>
        <v>74.908699999999996</v>
      </c>
      <c r="T41" s="269"/>
      <c r="U41" s="269"/>
      <c r="V41" s="41">
        <f>V42+V43</f>
        <v>75.002200000000002</v>
      </c>
      <c r="W41" s="269"/>
      <c r="X41" s="269"/>
      <c r="Y41" s="41">
        <f>Y42+Y43</f>
        <v>75.002200000000002</v>
      </c>
      <c r="Z41" s="269"/>
      <c r="AA41" s="269"/>
      <c r="AB41" s="41">
        <f>AB42+AB43</f>
        <v>75.002200000000002</v>
      </c>
      <c r="AC41" s="269"/>
      <c r="AD41" s="269"/>
      <c r="AE41" s="41">
        <f>AE42+AE43</f>
        <v>75.002200000000002</v>
      </c>
    </row>
    <row r="42" spans="1:31">
      <c r="A42" s="61"/>
      <c r="B42" s="55" t="s">
        <v>385</v>
      </c>
      <c r="C42" s="42"/>
      <c r="D42" s="42"/>
      <c r="E42" s="42"/>
      <c r="F42" s="43"/>
      <c r="G42" s="266">
        <f>G31+G32+G33+G34+G35+G39</f>
        <v>0</v>
      </c>
      <c r="H42" s="269"/>
      <c r="I42" s="269"/>
      <c r="J42" s="41">
        <f>J31+J32+J33+J34+J35+J39</f>
        <v>0</v>
      </c>
      <c r="K42" s="269"/>
      <c r="L42" s="269"/>
      <c r="M42" s="41">
        <f>M31+M32+M33+M34+M35+M39</f>
        <v>0</v>
      </c>
      <c r="N42" s="269"/>
      <c r="O42" s="269"/>
      <c r="P42" s="41">
        <f>P31+P32+P33+P34+P35+P39</f>
        <v>0</v>
      </c>
      <c r="Q42" s="269"/>
      <c r="R42" s="269"/>
      <c r="S42" s="41">
        <f>S31+S32+S33+S34+S35+S39</f>
        <v>0</v>
      </c>
      <c r="T42" s="269"/>
      <c r="U42" s="269"/>
      <c r="V42" s="41">
        <f>V31+V32+V33+V34+V35+V39</f>
        <v>0</v>
      </c>
      <c r="W42" s="269"/>
      <c r="X42" s="269"/>
      <c r="Y42" s="41">
        <f>Y31+Y32+Y33+Y34+Y35+Y39</f>
        <v>0</v>
      </c>
      <c r="Z42" s="269"/>
      <c r="AA42" s="269"/>
      <c r="AB42" s="41">
        <f>AB31+AB32+AB33+AB34+AB35+AB39</f>
        <v>0</v>
      </c>
      <c r="AC42" s="269"/>
      <c r="AD42" s="269"/>
      <c r="AE42" s="41">
        <f>AE31+AE32+AE33+AE34+AE35+AE39</f>
        <v>0</v>
      </c>
    </row>
    <row r="43" spans="1:31" ht="13.5" thickBot="1">
      <c r="A43" s="64"/>
      <c r="B43" s="74" t="s">
        <v>386</v>
      </c>
      <c r="C43" s="65"/>
      <c r="D43" s="65"/>
      <c r="E43" s="65"/>
      <c r="F43" s="66"/>
      <c r="G43" s="273">
        <f>G36+G37+G38+G40</f>
        <v>73.959400000000002</v>
      </c>
      <c r="H43" s="274"/>
      <c r="I43" s="274"/>
      <c r="J43" s="48">
        <f>J36+J37+J38+J40</f>
        <v>75.002200000000002</v>
      </c>
      <c r="K43" s="274"/>
      <c r="L43" s="274"/>
      <c r="M43" s="48">
        <f>M36+M37+M38+M40</f>
        <v>71.706599999999995</v>
      </c>
      <c r="N43" s="274"/>
      <c r="O43" s="274"/>
      <c r="P43" s="48">
        <f>P36+P37+P38+P40</f>
        <v>76.008599999999987</v>
      </c>
      <c r="Q43" s="274"/>
      <c r="R43" s="274"/>
      <c r="S43" s="48">
        <f>S36+S37+S38+S40</f>
        <v>74.908699999999996</v>
      </c>
      <c r="T43" s="274"/>
      <c r="U43" s="274"/>
      <c r="V43" s="48">
        <f>V36+V37+V38+V40</f>
        <v>75.002200000000002</v>
      </c>
      <c r="W43" s="274"/>
      <c r="X43" s="274"/>
      <c r="Y43" s="48">
        <f>Y36+Y37+Y38+Y40</f>
        <v>75.002200000000002</v>
      </c>
      <c r="Z43" s="274"/>
      <c r="AA43" s="274"/>
      <c r="AB43" s="48">
        <f>AB36+AB37+AB38+AB40</f>
        <v>75.002200000000002</v>
      </c>
      <c r="AC43" s="274"/>
      <c r="AD43" s="274"/>
      <c r="AE43" s="48">
        <f>AE36+AE37+AE38+AE40</f>
        <v>75.002200000000002</v>
      </c>
    </row>
    <row r="44" spans="1:31">
      <c r="A44" s="1505" t="s">
        <v>325</v>
      </c>
      <c r="B44" s="1522" t="s">
        <v>359</v>
      </c>
      <c r="C44" s="1511" t="s">
        <v>349</v>
      </c>
      <c r="D44" s="70" t="s">
        <v>326</v>
      </c>
      <c r="E44" s="70">
        <v>260</v>
      </c>
      <c r="F44" s="272"/>
      <c r="G44" s="275">
        <f>E44*F44/100</f>
        <v>0</v>
      </c>
      <c r="H44" s="73">
        <v>260</v>
      </c>
      <c r="I44" s="168"/>
      <c r="J44" s="72">
        <f>H44*I44/100</f>
        <v>0</v>
      </c>
      <c r="K44" s="73">
        <v>260</v>
      </c>
      <c r="L44" s="168"/>
      <c r="M44" s="72">
        <f>K44*L44/100</f>
        <v>0</v>
      </c>
      <c r="N44" s="73">
        <v>260</v>
      </c>
      <c r="O44" s="168"/>
      <c r="P44" s="72">
        <f>N44*O44/100</f>
        <v>0</v>
      </c>
      <c r="Q44" s="73">
        <v>260</v>
      </c>
      <c r="R44" s="168"/>
      <c r="S44" s="72">
        <f>Q44*R44/100</f>
        <v>0</v>
      </c>
      <c r="T44" s="73">
        <v>260</v>
      </c>
      <c r="U44" s="168"/>
      <c r="V44" s="72">
        <f>T44*U44/100</f>
        <v>0</v>
      </c>
      <c r="W44" s="73">
        <v>260</v>
      </c>
      <c r="X44" s="168"/>
      <c r="Y44" s="72">
        <f>W44*X44/100</f>
        <v>0</v>
      </c>
      <c r="Z44" s="73">
        <v>260</v>
      </c>
      <c r="AA44" s="168"/>
      <c r="AB44" s="72">
        <f>Z44*AA44/100</f>
        <v>0</v>
      </c>
      <c r="AC44" s="73">
        <v>260</v>
      </c>
      <c r="AD44" s="168"/>
      <c r="AE44" s="72">
        <f>AC44*AD44/100</f>
        <v>0</v>
      </c>
    </row>
    <row r="45" spans="1:31" ht="38.25">
      <c r="A45" s="1506"/>
      <c r="B45" s="1523"/>
      <c r="C45" s="1512"/>
      <c r="D45" s="45" t="s">
        <v>327</v>
      </c>
      <c r="E45" s="41">
        <v>220</v>
      </c>
      <c r="F45" s="1110">
        <f>'[6]ЛЭП 12.2018'!$Q$16</f>
        <v>65.031250000000014</v>
      </c>
      <c r="G45" s="276">
        <f>E45*F45/100</f>
        <v>143.06875000000002</v>
      </c>
      <c r="H45" s="41">
        <v>220</v>
      </c>
      <c r="I45" s="169">
        <v>65.031250000000014</v>
      </c>
      <c r="J45" s="59">
        <f>H45*I45/100</f>
        <v>143.06875000000002</v>
      </c>
      <c r="K45" s="41">
        <v>220</v>
      </c>
      <c r="L45" s="169">
        <v>55.899900000000002</v>
      </c>
      <c r="M45" s="59">
        <f>K45*L45/100</f>
        <v>122.97978000000001</v>
      </c>
      <c r="N45" s="41">
        <v>220</v>
      </c>
      <c r="O45" s="169">
        <f>L45</f>
        <v>55.899900000000002</v>
      </c>
      <c r="P45" s="59">
        <f>N45*O45/100</f>
        <v>122.97978000000001</v>
      </c>
      <c r="Q45" s="41">
        <v>220</v>
      </c>
      <c r="R45" s="169">
        <f>F45</f>
        <v>65.031250000000014</v>
      </c>
      <c r="S45" s="59">
        <f>Q45*R45/100</f>
        <v>143.06875000000002</v>
      </c>
      <c r="T45" s="41">
        <v>220</v>
      </c>
      <c r="U45" s="169">
        <f>I45</f>
        <v>65.031250000000014</v>
      </c>
      <c r="V45" s="59">
        <f>T45*U45/100</f>
        <v>143.06875000000002</v>
      </c>
      <c r="W45" s="41">
        <v>220</v>
      </c>
      <c r="X45" s="169">
        <f>U45</f>
        <v>65.031250000000014</v>
      </c>
      <c r="Y45" s="59">
        <f>W45*X45/100</f>
        <v>143.06875000000002</v>
      </c>
      <c r="Z45" s="41">
        <v>220</v>
      </c>
      <c r="AA45" s="169">
        <f>X45</f>
        <v>65.031250000000014</v>
      </c>
      <c r="AB45" s="59">
        <f>Z45*AA45/100</f>
        <v>143.06875000000002</v>
      </c>
      <c r="AC45" s="41">
        <v>220</v>
      </c>
      <c r="AD45" s="169">
        <f>AA45</f>
        <v>65.031250000000014</v>
      </c>
      <c r="AE45" s="59">
        <f>AC45*AD45/100</f>
        <v>143.06875000000002</v>
      </c>
    </row>
    <row r="46" spans="1:31" ht="25.5">
      <c r="A46" s="1506"/>
      <c r="B46" s="1523"/>
      <c r="C46" s="1512"/>
      <c r="D46" s="45" t="s">
        <v>328</v>
      </c>
      <c r="E46" s="41">
        <v>150</v>
      </c>
      <c r="F46" s="1111">
        <f>'[6]ЛЭП 12.2018'!$Q$15-'[6]ЛЭП 12.2018'!$G$106</f>
        <v>146.9461500000001</v>
      </c>
      <c r="G46" s="276">
        <f>E46*F46/100</f>
        <v>220.41922500000015</v>
      </c>
      <c r="H46" s="41">
        <v>150</v>
      </c>
      <c r="I46" s="1318">
        <f>147.09915+0.549</f>
        <v>147.64815000000002</v>
      </c>
      <c r="J46" s="59">
        <f>H46*I46/100</f>
        <v>221.47222500000004</v>
      </c>
      <c r="K46" s="41">
        <v>150</v>
      </c>
      <c r="L46" s="169">
        <v>162.38</v>
      </c>
      <c r="M46" s="59">
        <f>K46*L46/100</f>
        <v>243.57</v>
      </c>
      <c r="N46" s="41">
        <v>150</v>
      </c>
      <c r="O46" s="169">
        <f>[7]ЛЭП!$H$139-O45</f>
        <v>162.26450000000006</v>
      </c>
      <c r="P46" s="59">
        <f>N46*O46/100</f>
        <v>243.39675000000005</v>
      </c>
      <c r="Q46" s="41">
        <v>150</v>
      </c>
      <c r="R46" s="1318">
        <f>'[6]ЛЭП 12.2018'!$Q$15</f>
        <v>147.09915000000009</v>
      </c>
      <c r="S46" s="59">
        <f>Q46*R46/100</f>
        <v>220.64872500000016</v>
      </c>
      <c r="T46" s="41">
        <v>150</v>
      </c>
      <c r="U46" s="1318">
        <f>I46</f>
        <v>147.64815000000002</v>
      </c>
      <c r="V46" s="59">
        <f>T46*U46/100</f>
        <v>221.47222500000004</v>
      </c>
      <c r="W46" s="41">
        <v>150</v>
      </c>
      <c r="X46" s="1318">
        <f>U46</f>
        <v>147.64815000000002</v>
      </c>
      <c r="Y46" s="59">
        <f>W46*X46/100</f>
        <v>221.47222500000004</v>
      </c>
      <c r="Z46" s="41">
        <v>150</v>
      </c>
      <c r="AA46" s="1318">
        <f>X46</f>
        <v>147.64815000000002</v>
      </c>
      <c r="AB46" s="59">
        <f>Z46*AA46/100</f>
        <v>221.47222500000004</v>
      </c>
      <c r="AC46" s="41">
        <v>150</v>
      </c>
      <c r="AD46" s="1318">
        <f>AA46</f>
        <v>147.64815000000002</v>
      </c>
      <c r="AE46" s="59">
        <f>AC46*AD46/100</f>
        <v>221.47222500000004</v>
      </c>
    </row>
    <row r="47" spans="1:31">
      <c r="A47" s="62" t="s">
        <v>329</v>
      </c>
      <c r="B47" s="44" t="s">
        <v>360</v>
      </c>
      <c r="C47" s="38" t="s">
        <v>349</v>
      </c>
      <c r="D47" s="38" t="s">
        <v>349</v>
      </c>
      <c r="E47" s="41">
        <v>270</v>
      </c>
      <c r="F47" s="1110">
        <f>'[6]ЛЭП 12.2018'!$G$93</f>
        <v>13.16</v>
      </c>
      <c r="G47" s="276">
        <f>E47*F47/100</f>
        <v>35.531999999999996</v>
      </c>
      <c r="H47" s="41">
        <v>270</v>
      </c>
      <c r="I47" s="1113">
        <v>13.16</v>
      </c>
      <c r="J47" s="59">
        <f>H47*I47/100</f>
        <v>35.531999999999996</v>
      </c>
      <c r="K47" s="41">
        <v>270</v>
      </c>
      <c r="L47" s="169">
        <v>13.223000000000001</v>
      </c>
      <c r="M47" s="59">
        <f>K47*L47/100</f>
        <v>35.702100000000002</v>
      </c>
      <c r="N47" s="41">
        <v>270</v>
      </c>
      <c r="O47" s="1113">
        <f>[7]ЛЭП!$H$100</f>
        <v>13.161000000000001</v>
      </c>
      <c r="P47" s="59">
        <f>N47*O47/100</f>
        <v>35.534700000000001</v>
      </c>
      <c r="Q47" s="41">
        <v>270</v>
      </c>
      <c r="R47" s="1113">
        <f>F47</f>
        <v>13.16</v>
      </c>
      <c r="S47" s="59">
        <f>Q47*R47/100</f>
        <v>35.531999999999996</v>
      </c>
      <c r="T47" s="41">
        <v>270</v>
      </c>
      <c r="U47" s="1113">
        <f>I47</f>
        <v>13.16</v>
      </c>
      <c r="V47" s="59">
        <f>T47*U47/100</f>
        <v>35.531999999999996</v>
      </c>
      <c r="W47" s="41">
        <v>270</v>
      </c>
      <c r="X47" s="1113">
        <f>U47</f>
        <v>13.16</v>
      </c>
      <c r="Y47" s="59">
        <f>W47*X47/100</f>
        <v>35.531999999999996</v>
      </c>
      <c r="Z47" s="41">
        <v>270</v>
      </c>
      <c r="AA47" s="1113">
        <f>X47</f>
        <v>13.16</v>
      </c>
      <c r="AB47" s="59">
        <f>Z47*AA47/100</f>
        <v>35.531999999999996</v>
      </c>
      <c r="AC47" s="41">
        <v>270</v>
      </c>
      <c r="AD47" s="1113">
        <f>AA47</f>
        <v>13.16</v>
      </c>
      <c r="AE47" s="59">
        <f>AC47*AD47/100</f>
        <v>35.531999999999996</v>
      </c>
    </row>
    <row r="48" spans="1:31" ht="13.5" thickBot="1">
      <c r="A48" s="1527" t="s">
        <v>361</v>
      </c>
      <c r="B48" s="1528"/>
      <c r="C48" s="1528"/>
      <c r="D48" s="1528"/>
      <c r="E48" s="1528"/>
      <c r="F48" s="1528"/>
      <c r="G48" s="277">
        <f>SUM(G44:G47)</f>
        <v>399.01997500000016</v>
      </c>
      <c r="H48" s="278"/>
      <c r="I48" s="278"/>
      <c r="J48" s="270">
        <f>SUM(J44:J47)</f>
        <v>400.07297500000004</v>
      </c>
      <c r="K48" s="278"/>
      <c r="L48" s="278"/>
      <c r="M48" s="270">
        <f>SUM(M44:M47)</f>
        <v>402.25188000000003</v>
      </c>
      <c r="N48" s="278"/>
      <c r="O48" s="278"/>
      <c r="P48" s="270">
        <f>SUM(P44:P47)</f>
        <v>401.91123000000005</v>
      </c>
      <c r="Q48" s="278"/>
      <c r="R48" s="278"/>
      <c r="S48" s="270">
        <f>SUM(S44:S47)</f>
        <v>399.24947500000013</v>
      </c>
      <c r="T48" s="278"/>
      <c r="U48" s="278"/>
      <c r="V48" s="270">
        <f>SUM(V44:V47)</f>
        <v>400.07297500000004</v>
      </c>
      <c r="W48" s="278"/>
      <c r="X48" s="278"/>
      <c r="Y48" s="161">
        <f>SUM(Y44:Y47)</f>
        <v>400.07297500000004</v>
      </c>
      <c r="Z48" s="278"/>
      <c r="AA48" s="278"/>
      <c r="AB48" s="161">
        <f>SUM(AB44:AB47)</f>
        <v>400.07297500000004</v>
      </c>
      <c r="AC48" s="278"/>
      <c r="AD48" s="278"/>
      <c r="AE48" s="161">
        <f>SUM(AE44:AE47)</f>
        <v>400.07297500000004</v>
      </c>
    </row>
    <row r="49" spans="1:31">
      <c r="A49" s="50"/>
      <c r="B49" s="51"/>
      <c r="C49" s="50"/>
      <c r="D49" s="49"/>
      <c r="E49" s="49"/>
      <c r="F49" s="49"/>
      <c r="G49" s="49">
        <f>G48+G41</f>
        <v>472.97937500000018</v>
      </c>
      <c r="J49" s="49">
        <f>J48+J41</f>
        <v>475.07517500000006</v>
      </c>
      <c r="M49" s="49">
        <f>M48+M41</f>
        <v>473.95848000000001</v>
      </c>
      <c r="P49" s="49">
        <f>P48+P41</f>
        <v>477.91983000000005</v>
      </c>
      <c r="S49" s="49">
        <f>S48+S41</f>
        <v>474.15817500000014</v>
      </c>
      <c r="AE49" s="1276">
        <v>3</v>
      </c>
    </row>
    <row r="50" spans="1:31" ht="25.5" customHeight="1">
      <c r="A50" s="1534" t="s">
        <v>387</v>
      </c>
      <c r="B50" s="1534"/>
      <c r="C50" s="1534"/>
      <c r="D50" s="1534"/>
      <c r="E50" s="1534"/>
      <c r="F50" s="1534"/>
      <c r="G50" s="1534"/>
      <c r="R50" s="31">
        <f>SUM(R37:R40)</f>
        <v>59.301999999999992</v>
      </c>
      <c r="U50" s="31">
        <f>SUM(U37:U40)</f>
        <v>59.387</v>
      </c>
    </row>
    <row r="51" spans="1:31" ht="24.95" customHeight="1">
      <c r="A51" s="1520"/>
      <c r="B51" s="1520"/>
      <c r="C51" s="1520"/>
      <c r="D51" s="1520"/>
      <c r="E51" s="1520"/>
      <c r="F51" s="1520"/>
      <c r="G51" s="1520"/>
      <c r="H51" s="1392"/>
      <c r="I51" s="1392"/>
      <c r="J51" s="1392"/>
      <c r="R51" s="31">
        <f>SUM(R44:R47)</f>
        <v>225.29040000000012</v>
      </c>
      <c r="U51" s="31">
        <f>SUM(U45:U47)</f>
        <v>225.83940000000004</v>
      </c>
    </row>
    <row r="52" spans="1:31" s="32" customFormat="1" ht="12.95" customHeight="1">
      <c r="A52" s="1521"/>
      <c r="B52" s="1521"/>
      <c r="C52" s="1521"/>
      <c r="D52" s="1521"/>
      <c r="E52" s="1521"/>
      <c r="F52" s="1521"/>
      <c r="G52" s="1521"/>
      <c r="H52" s="1397"/>
      <c r="I52" s="1397"/>
      <c r="J52" s="1397"/>
      <c r="R52" s="32">
        <f>R50+R51</f>
        <v>284.59240000000011</v>
      </c>
      <c r="U52" s="32">
        <f>U50+U51</f>
        <v>285.22640000000001</v>
      </c>
    </row>
    <row r="53" spans="1:31" s="32" customFormat="1" ht="12.95" customHeight="1">
      <c r="A53" s="1521"/>
      <c r="B53" s="1521"/>
      <c r="C53" s="1521"/>
      <c r="D53" s="1521"/>
      <c r="E53" s="1521"/>
      <c r="F53" s="1521"/>
      <c r="G53" s="1521"/>
      <c r="H53" s="1397"/>
      <c r="I53" s="1397"/>
      <c r="J53" s="1397"/>
    </row>
    <row r="54" spans="1:31" s="32" customFormat="1" ht="12.95" customHeight="1">
      <c r="A54" s="1521"/>
      <c r="B54" s="1521"/>
      <c r="C54" s="1521"/>
      <c r="D54" s="1521"/>
      <c r="E54" s="1521"/>
      <c r="F54" s="1521"/>
      <c r="G54" s="1521"/>
      <c r="H54" s="1397"/>
      <c r="I54" s="1397"/>
      <c r="J54" s="1397"/>
    </row>
    <row r="55" spans="1:31" ht="24.95" customHeight="1">
      <c r="A55" s="1520"/>
      <c r="B55" s="1520"/>
      <c r="C55" s="1520"/>
      <c r="D55" s="1520"/>
      <c r="E55" s="1520"/>
      <c r="F55" s="1520"/>
      <c r="G55" s="1520"/>
      <c r="H55" s="1392"/>
      <c r="I55" s="1392"/>
      <c r="J55" s="1392"/>
    </row>
    <row r="56" spans="1:31">
      <c r="A56" s="1520"/>
      <c r="B56" s="1520"/>
      <c r="C56" s="1520"/>
      <c r="D56" s="1520"/>
      <c r="E56" s="1520"/>
      <c r="F56" s="1520"/>
      <c r="G56" s="1520"/>
      <c r="H56" s="1392"/>
      <c r="I56" s="1392"/>
      <c r="J56" s="1392"/>
    </row>
  </sheetData>
  <mergeCells count="39">
    <mergeCell ref="A51:G51"/>
    <mergeCell ref="B44:B46"/>
    <mergeCell ref="A41:F41"/>
    <mergeCell ref="C18:C20"/>
    <mergeCell ref="C21:C22"/>
    <mergeCell ref="C34:C35"/>
    <mergeCell ref="A30:F30"/>
    <mergeCell ref="A31:A38"/>
    <mergeCell ref="B31:B35"/>
    <mergeCell ref="A39:A40"/>
    <mergeCell ref="C36:C38"/>
    <mergeCell ref="A28:A29"/>
    <mergeCell ref="A50:G50"/>
    <mergeCell ref="A48:F48"/>
    <mergeCell ref="C31:C33"/>
    <mergeCell ref="B36:B38"/>
    <mergeCell ref="A56:G56"/>
    <mergeCell ref="A54:G54"/>
    <mergeCell ref="A52:G52"/>
    <mergeCell ref="A55:G55"/>
    <mergeCell ref="A53:G53"/>
    <mergeCell ref="A3:G3"/>
    <mergeCell ref="A7:A8"/>
    <mergeCell ref="B23:B27"/>
    <mergeCell ref="C23:C25"/>
    <mergeCell ref="C26:C27"/>
    <mergeCell ref="D7:D8"/>
    <mergeCell ref="B18:B22"/>
    <mergeCell ref="B7:B8"/>
    <mergeCell ref="A5:G5"/>
    <mergeCell ref="C7:C8"/>
    <mergeCell ref="A44:A46"/>
    <mergeCell ref="C16:C17"/>
    <mergeCell ref="B14:B17"/>
    <mergeCell ref="B12:B13"/>
    <mergeCell ref="A10:A27"/>
    <mergeCell ref="C44:C46"/>
    <mergeCell ref="C12:C13"/>
    <mergeCell ref="C14:C15"/>
  </mergeCells>
  <phoneticPr fontId="16" type="noConversion"/>
  <printOptions horizontalCentered="1"/>
  <pageMargins left="0.39370078740157483" right="0.27559055118110237" top="0.39370078740157483" bottom="0" header="0" footer="0"/>
  <pageSetup paperSize="9" scale="69" fitToHeight="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6">
    <tabColor indexed="26"/>
    <pageSetUpPr fitToPage="1"/>
  </sheetPr>
  <dimension ref="A1:AE43"/>
  <sheetViews>
    <sheetView topLeftCell="A15" workbookViewId="0">
      <selection activeCell="I31" sqref="I31"/>
    </sheetView>
  </sheetViews>
  <sheetFormatPr defaultColWidth="8" defaultRowHeight="12.75"/>
  <cols>
    <col min="1" max="1" width="5.85546875" style="31" customWidth="1"/>
    <col min="2" max="2" width="19.28515625" style="31" customWidth="1"/>
    <col min="3" max="3" width="12.85546875" style="31" customWidth="1"/>
    <col min="4" max="4" width="12" style="31" customWidth="1"/>
    <col min="5" max="6" width="12.140625" style="31" customWidth="1"/>
    <col min="7" max="10" width="10.85546875" style="31" customWidth="1"/>
    <col min="11" max="11" width="10.5703125" style="31" customWidth="1"/>
    <col min="12" max="12" width="10" style="31" customWidth="1"/>
    <col min="13" max="16" width="11.7109375" style="31" customWidth="1"/>
    <col min="17" max="17" width="12.42578125" style="31" customWidth="1"/>
    <col min="18" max="19" width="10.140625" style="31" customWidth="1"/>
    <col min="20" max="20" width="10.28515625" style="31" customWidth="1"/>
    <col min="21" max="21" width="9" style="31" customWidth="1"/>
    <col min="22" max="22" width="10.28515625" style="31" customWidth="1"/>
    <col min="23" max="23" width="10.42578125" style="31" customWidth="1"/>
    <col min="24" max="24" width="9.85546875" style="31" customWidth="1"/>
    <col min="25" max="25" width="10.42578125" style="31" customWidth="1"/>
    <col min="26" max="16384" width="8" style="31"/>
  </cols>
  <sheetData>
    <row r="1" spans="1:31" hidden="1">
      <c r="A1" s="117"/>
    </row>
    <row r="2" spans="1:31" ht="6" hidden="1" customHeight="1"/>
    <row r="3" spans="1:31" ht="27" customHeight="1">
      <c r="A3" s="1513" t="s">
        <v>362</v>
      </c>
      <c r="B3" s="1513"/>
      <c r="C3" s="1513"/>
      <c r="D3" s="1513"/>
      <c r="E3" s="1513"/>
      <c r="F3" s="1513"/>
      <c r="G3" s="1513"/>
      <c r="H3" s="1398"/>
      <c r="I3" s="1398"/>
      <c r="J3" s="1398"/>
      <c r="AE3" s="33" t="s">
        <v>391</v>
      </c>
    </row>
    <row r="4" spans="1:31" ht="25.5" customHeight="1" thickBot="1">
      <c r="A4" s="34"/>
      <c r="B4" s="34"/>
      <c r="C4" s="34"/>
      <c r="D4" s="34"/>
      <c r="E4" s="34"/>
      <c r="F4" s="271" t="s">
        <v>933</v>
      </c>
      <c r="G4" s="271"/>
      <c r="H4" s="271"/>
      <c r="I4" s="271" t="s">
        <v>1476</v>
      </c>
      <c r="J4" s="271"/>
      <c r="K4" s="271"/>
      <c r="L4" s="271" t="s">
        <v>934</v>
      </c>
      <c r="M4" s="271"/>
      <c r="N4" s="271"/>
      <c r="O4" s="271" t="s">
        <v>1431</v>
      </c>
      <c r="P4" s="271"/>
      <c r="Q4" s="271"/>
      <c r="R4" s="271" t="s">
        <v>938</v>
      </c>
      <c r="S4" s="271"/>
      <c r="T4" s="271"/>
      <c r="U4" s="271">
        <v>2021</v>
      </c>
      <c r="V4" s="271"/>
      <c r="W4" s="271"/>
      <c r="X4" s="271">
        <v>2022</v>
      </c>
      <c r="Y4" s="271"/>
      <c r="AA4" s="271">
        <v>2023</v>
      </c>
      <c r="AB4" s="271"/>
      <c r="AC4" s="271"/>
      <c r="AD4" s="271">
        <v>2024</v>
      </c>
    </row>
    <row r="5" spans="1:31" ht="107.25" customHeight="1">
      <c r="A5" s="1541" t="s">
        <v>249</v>
      </c>
      <c r="B5" s="1518" t="s">
        <v>242</v>
      </c>
      <c r="C5" s="1518" t="s">
        <v>330</v>
      </c>
      <c r="D5" s="1518" t="s">
        <v>342</v>
      </c>
      <c r="E5" s="57" t="s">
        <v>363</v>
      </c>
      <c r="F5" s="57" t="s">
        <v>331</v>
      </c>
      <c r="G5" s="58" t="s">
        <v>345</v>
      </c>
      <c r="H5" s="1396" t="s">
        <v>363</v>
      </c>
      <c r="I5" s="1396" t="s">
        <v>331</v>
      </c>
      <c r="J5" s="58" t="s">
        <v>345</v>
      </c>
      <c r="K5" s="57" t="s">
        <v>363</v>
      </c>
      <c r="L5" s="57" t="s">
        <v>331</v>
      </c>
      <c r="M5" s="58" t="s">
        <v>345</v>
      </c>
      <c r="N5" s="1307" t="s">
        <v>363</v>
      </c>
      <c r="O5" s="1307" t="s">
        <v>331</v>
      </c>
      <c r="P5" s="58" t="s">
        <v>345</v>
      </c>
      <c r="Q5" s="57" t="s">
        <v>363</v>
      </c>
      <c r="R5" s="57" t="s">
        <v>331</v>
      </c>
      <c r="S5" s="58" t="s">
        <v>345</v>
      </c>
      <c r="T5" s="57" t="s">
        <v>363</v>
      </c>
      <c r="U5" s="57" t="s">
        <v>331</v>
      </c>
      <c r="V5" s="58" t="s">
        <v>345</v>
      </c>
      <c r="W5" s="57" t="s">
        <v>363</v>
      </c>
      <c r="X5" s="57" t="s">
        <v>331</v>
      </c>
      <c r="Y5" s="58" t="s">
        <v>345</v>
      </c>
      <c r="Z5" s="57" t="s">
        <v>363</v>
      </c>
      <c r="AA5" s="57" t="s">
        <v>331</v>
      </c>
      <c r="AB5" s="58" t="s">
        <v>345</v>
      </c>
      <c r="AC5" s="57" t="s">
        <v>363</v>
      </c>
      <c r="AD5" s="57" t="s">
        <v>331</v>
      </c>
      <c r="AE5" s="58" t="s">
        <v>345</v>
      </c>
    </row>
    <row r="6" spans="1:31" ht="25.5">
      <c r="A6" s="1505"/>
      <c r="B6" s="1511"/>
      <c r="C6" s="1511"/>
      <c r="D6" s="1511"/>
      <c r="E6" s="36" t="s">
        <v>364</v>
      </c>
      <c r="F6" s="36" t="s">
        <v>365</v>
      </c>
      <c r="G6" s="80" t="s">
        <v>347</v>
      </c>
      <c r="H6" s="1394" t="s">
        <v>364</v>
      </c>
      <c r="I6" s="1394" t="s">
        <v>365</v>
      </c>
      <c r="J6" s="80" t="s">
        <v>347</v>
      </c>
      <c r="K6" s="36" t="s">
        <v>364</v>
      </c>
      <c r="L6" s="36" t="s">
        <v>365</v>
      </c>
      <c r="M6" s="80" t="s">
        <v>347</v>
      </c>
      <c r="N6" s="1305" t="s">
        <v>364</v>
      </c>
      <c r="O6" s="1305" t="s">
        <v>365</v>
      </c>
      <c r="P6" s="80" t="s">
        <v>347</v>
      </c>
      <c r="Q6" s="36" t="s">
        <v>364</v>
      </c>
      <c r="R6" s="36" t="s">
        <v>365</v>
      </c>
      <c r="S6" s="80" t="s">
        <v>347</v>
      </c>
      <c r="T6" s="36" t="s">
        <v>364</v>
      </c>
      <c r="U6" s="36" t="s">
        <v>365</v>
      </c>
      <c r="V6" s="80" t="s">
        <v>347</v>
      </c>
      <c r="W6" s="36" t="s">
        <v>364</v>
      </c>
      <c r="X6" s="36" t="s">
        <v>365</v>
      </c>
      <c r="Y6" s="80" t="s">
        <v>347</v>
      </c>
      <c r="Z6" s="36" t="s">
        <v>364</v>
      </c>
      <c r="AA6" s="36" t="s">
        <v>365</v>
      </c>
      <c r="AB6" s="80" t="s">
        <v>347</v>
      </c>
      <c r="AC6" s="36" t="s">
        <v>364</v>
      </c>
      <c r="AD6" s="36" t="s">
        <v>365</v>
      </c>
      <c r="AE6" s="80" t="s">
        <v>347</v>
      </c>
    </row>
    <row r="7" spans="1:31" ht="13.5" thickBot="1">
      <c r="A7" s="67">
        <v>1</v>
      </c>
      <c r="B7" s="68">
        <f>+A7+1</f>
        <v>2</v>
      </c>
      <c r="C7" s="68">
        <f>+B7+1</f>
        <v>3</v>
      </c>
      <c r="D7" s="68">
        <f>+C7+1</f>
        <v>4</v>
      </c>
      <c r="E7" s="68">
        <f>+D7+1</f>
        <v>5</v>
      </c>
      <c r="F7" s="68">
        <f>+E7+1</f>
        <v>6</v>
      </c>
      <c r="G7" s="69" t="s">
        <v>366</v>
      </c>
      <c r="H7" s="68">
        <v>5</v>
      </c>
      <c r="I7" s="68">
        <v>6</v>
      </c>
      <c r="J7" s="69" t="s">
        <v>366</v>
      </c>
      <c r="K7" s="68">
        <v>5</v>
      </c>
      <c r="L7" s="68">
        <v>6</v>
      </c>
      <c r="M7" s="69" t="s">
        <v>366</v>
      </c>
      <c r="N7" s="68">
        <v>5</v>
      </c>
      <c r="O7" s="68">
        <v>6</v>
      </c>
      <c r="P7" s="69" t="s">
        <v>366</v>
      </c>
      <c r="Q7" s="68">
        <v>5</v>
      </c>
      <c r="R7" s="68">
        <v>6</v>
      </c>
      <c r="S7" s="69" t="s">
        <v>366</v>
      </c>
      <c r="T7" s="68">
        <v>5</v>
      </c>
      <c r="U7" s="68">
        <v>6</v>
      </c>
      <c r="V7" s="69" t="s">
        <v>366</v>
      </c>
      <c r="W7" s="68">
        <v>5</v>
      </c>
      <c r="X7" s="68">
        <v>6</v>
      </c>
      <c r="Y7" s="69" t="s">
        <v>366</v>
      </c>
      <c r="Z7" s="68">
        <v>5</v>
      </c>
      <c r="AA7" s="68">
        <v>6</v>
      </c>
      <c r="AB7" s="69" t="s">
        <v>366</v>
      </c>
      <c r="AC7" s="68">
        <v>5</v>
      </c>
      <c r="AD7" s="68">
        <v>6</v>
      </c>
      <c r="AE7" s="69" t="s">
        <v>366</v>
      </c>
    </row>
    <row r="8" spans="1:31">
      <c r="A8" s="1539">
        <v>1</v>
      </c>
      <c r="B8" s="1538" t="s">
        <v>367</v>
      </c>
      <c r="C8" s="1538" t="s">
        <v>368</v>
      </c>
      <c r="D8" s="37">
        <v>220</v>
      </c>
      <c r="E8" s="52">
        <v>210</v>
      </c>
      <c r="F8" s="172"/>
      <c r="G8" s="82">
        <f>E8*F8</f>
        <v>0</v>
      </c>
      <c r="H8" s="52">
        <v>210</v>
      </c>
      <c r="I8" s="172"/>
      <c r="J8" s="82">
        <f>H8*I8</f>
        <v>0</v>
      </c>
      <c r="K8" s="52">
        <v>210</v>
      </c>
      <c r="L8" s="172"/>
      <c r="M8" s="82">
        <f>K8*L8</f>
        <v>0</v>
      </c>
      <c r="N8" s="52">
        <v>210</v>
      </c>
      <c r="O8" s="172"/>
      <c r="P8" s="82">
        <f>N8*O8</f>
        <v>0</v>
      </c>
      <c r="Q8" s="52">
        <v>210</v>
      </c>
      <c r="R8" s="172"/>
      <c r="S8" s="82">
        <f>Q8*R8</f>
        <v>0</v>
      </c>
      <c r="T8" s="52">
        <v>210</v>
      </c>
      <c r="U8" s="172"/>
      <c r="V8" s="82">
        <f>T8*U8</f>
        <v>0</v>
      </c>
      <c r="W8" s="52">
        <v>210</v>
      </c>
      <c r="X8" s="172"/>
      <c r="Y8" s="82">
        <f>W8*X8</f>
        <v>0</v>
      </c>
      <c r="Z8" s="52">
        <v>210</v>
      </c>
      <c r="AA8" s="172"/>
      <c r="AB8" s="82">
        <f>Z8*AA8</f>
        <v>0</v>
      </c>
      <c r="AC8" s="52">
        <v>210</v>
      </c>
      <c r="AD8" s="172"/>
      <c r="AE8" s="82">
        <f>AC8*AD8</f>
        <v>0</v>
      </c>
    </row>
    <row r="9" spans="1:31">
      <c r="A9" s="1539"/>
      <c r="B9" s="1538"/>
      <c r="C9" s="1538"/>
      <c r="D9" s="36" t="s">
        <v>369</v>
      </c>
      <c r="E9" s="39">
        <v>105</v>
      </c>
      <c r="F9" s="173"/>
      <c r="G9" s="80">
        <f>E9*F9</f>
        <v>0</v>
      </c>
      <c r="H9" s="1393">
        <v>105</v>
      </c>
      <c r="I9" s="173"/>
      <c r="J9" s="80">
        <f>H9*I9</f>
        <v>0</v>
      </c>
      <c r="K9" s="39">
        <v>105</v>
      </c>
      <c r="L9" s="173"/>
      <c r="M9" s="80">
        <f>K9*L9</f>
        <v>0</v>
      </c>
      <c r="N9" s="1306">
        <v>105</v>
      </c>
      <c r="O9" s="173"/>
      <c r="P9" s="80">
        <f>N9*O9</f>
        <v>0</v>
      </c>
      <c r="Q9" s="39">
        <v>105</v>
      </c>
      <c r="R9" s="173"/>
      <c r="S9" s="80">
        <f>Q9*R9</f>
        <v>0</v>
      </c>
      <c r="T9" s="39">
        <v>105</v>
      </c>
      <c r="U9" s="173"/>
      <c r="V9" s="80">
        <f>T9*U9</f>
        <v>0</v>
      </c>
      <c r="W9" s="39">
        <v>105</v>
      </c>
      <c r="X9" s="173"/>
      <c r="Y9" s="80">
        <f>W9*X9</f>
        <v>0</v>
      </c>
      <c r="Z9" s="39">
        <v>105</v>
      </c>
      <c r="AA9" s="173"/>
      <c r="AB9" s="80">
        <f>Z9*AA9</f>
        <v>0</v>
      </c>
      <c r="AC9" s="39">
        <v>105</v>
      </c>
      <c r="AD9" s="173"/>
      <c r="AE9" s="80">
        <f>AC9*AD9</f>
        <v>0</v>
      </c>
    </row>
    <row r="10" spans="1:31">
      <c r="A10" s="1540"/>
      <c r="B10" s="1511"/>
      <c r="C10" s="1511"/>
      <c r="D10" s="36">
        <v>35</v>
      </c>
      <c r="E10" s="39">
        <v>75</v>
      </c>
      <c r="F10" s="173"/>
      <c r="G10" s="80">
        <f t="shared" ref="G10:G34" si="0">E10*F10</f>
        <v>0</v>
      </c>
      <c r="H10" s="1393">
        <v>75</v>
      </c>
      <c r="I10" s="173"/>
      <c r="J10" s="80">
        <f t="shared" ref="J10:J34" si="1">H10*I10</f>
        <v>0</v>
      </c>
      <c r="K10" s="39">
        <v>75</v>
      </c>
      <c r="L10" s="173"/>
      <c r="M10" s="80">
        <f t="shared" ref="M10:M34" si="2">K10*L10</f>
        <v>0</v>
      </c>
      <c r="N10" s="1306">
        <v>75</v>
      </c>
      <c r="O10" s="173"/>
      <c r="P10" s="80">
        <f t="shared" ref="P10:P34" si="3">N10*O10</f>
        <v>0</v>
      </c>
      <c r="Q10" s="39">
        <v>75</v>
      </c>
      <c r="R10" s="173"/>
      <c r="S10" s="80">
        <f t="shared" ref="S10:S34" si="4">Q10*R10</f>
        <v>0</v>
      </c>
      <c r="T10" s="39">
        <v>75</v>
      </c>
      <c r="U10" s="173"/>
      <c r="V10" s="80">
        <f t="shared" ref="V10:V34" si="5">T10*U10</f>
        <v>0</v>
      </c>
      <c r="W10" s="39">
        <v>75</v>
      </c>
      <c r="X10" s="173"/>
      <c r="Y10" s="80">
        <f t="shared" ref="Y10:Y34" si="6">W10*X10</f>
        <v>0</v>
      </c>
      <c r="Z10" s="39">
        <v>75</v>
      </c>
      <c r="AA10" s="173"/>
      <c r="AB10" s="80">
        <f t="shared" ref="AB10:AB34" si="7">Z10*AA10</f>
        <v>0</v>
      </c>
      <c r="AC10" s="39">
        <v>75</v>
      </c>
      <c r="AD10" s="173"/>
      <c r="AE10" s="80">
        <f t="shared" ref="AE10:AE34" si="8">AC10*AD10</f>
        <v>0</v>
      </c>
    </row>
    <row r="11" spans="1:31" ht="17.25" customHeight="1">
      <c r="A11" s="1533">
        <v>2</v>
      </c>
      <c r="B11" s="1537" t="s">
        <v>370</v>
      </c>
      <c r="C11" s="1537" t="s">
        <v>371</v>
      </c>
      <c r="D11" s="36">
        <v>220</v>
      </c>
      <c r="E11" s="39">
        <v>14</v>
      </c>
      <c r="F11" s="173"/>
      <c r="G11" s="80">
        <f t="shared" si="0"/>
        <v>0</v>
      </c>
      <c r="H11" s="1393">
        <v>14</v>
      </c>
      <c r="I11" s="173"/>
      <c r="J11" s="80">
        <f t="shared" si="1"/>
        <v>0</v>
      </c>
      <c r="K11" s="39">
        <v>14</v>
      </c>
      <c r="L11" s="173"/>
      <c r="M11" s="80">
        <f t="shared" si="2"/>
        <v>0</v>
      </c>
      <c r="N11" s="1306">
        <v>14</v>
      </c>
      <c r="O11" s="173"/>
      <c r="P11" s="80">
        <f t="shared" si="3"/>
        <v>0</v>
      </c>
      <c r="Q11" s="39">
        <v>14</v>
      </c>
      <c r="R11" s="173"/>
      <c r="S11" s="80">
        <f t="shared" si="4"/>
        <v>0</v>
      </c>
      <c r="T11" s="39">
        <v>14</v>
      </c>
      <c r="U11" s="173"/>
      <c r="V11" s="80">
        <f t="shared" si="5"/>
        <v>0</v>
      </c>
      <c r="W11" s="39">
        <v>14</v>
      </c>
      <c r="X11" s="173"/>
      <c r="Y11" s="80">
        <f t="shared" si="6"/>
        <v>0</v>
      </c>
      <c r="Z11" s="39">
        <v>14</v>
      </c>
      <c r="AA11" s="173"/>
      <c r="AB11" s="80">
        <f t="shared" si="7"/>
        <v>0</v>
      </c>
      <c r="AC11" s="39">
        <v>14</v>
      </c>
      <c r="AD11" s="173"/>
      <c r="AE11" s="80">
        <f t="shared" si="8"/>
        <v>0</v>
      </c>
    </row>
    <row r="12" spans="1:31" ht="20.25" customHeight="1">
      <c r="A12" s="1539"/>
      <c r="B12" s="1538"/>
      <c r="C12" s="1538"/>
      <c r="D12" s="36" t="s">
        <v>369</v>
      </c>
      <c r="E12" s="39">
        <v>7.8</v>
      </c>
      <c r="F12" s="173"/>
      <c r="G12" s="80">
        <f t="shared" si="0"/>
        <v>0</v>
      </c>
      <c r="H12" s="1393">
        <v>7.8</v>
      </c>
      <c r="I12" s="173"/>
      <c r="J12" s="80">
        <f t="shared" si="1"/>
        <v>0</v>
      </c>
      <c r="K12" s="39">
        <v>7.8</v>
      </c>
      <c r="L12" s="173"/>
      <c r="M12" s="80">
        <f t="shared" si="2"/>
        <v>0</v>
      </c>
      <c r="N12" s="1306">
        <v>7.8</v>
      </c>
      <c r="O12" s="173"/>
      <c r="P12" s="80">
        <f t="shared" si="3"/>
        <v>0</v>
      </c>
      <c r="Q12" s="39">
        <v>7.8</v>
      </c>
      <c r="R12" s="173"/>
      <c r="S12" s="80">
        <f t="shared" si="4"/>
        <v>0</v>
      </c>
      <c r="T12" s="39">
        <v>7.8</v>
      </c>
      <c r="U12" s="173"/>
      <c r="V12" s="80">
        <f t="shared" si="5"/>
        <v>0</v>
      </c>
      <c r="W12" s="39">
        <v>7.8</v>
      </c>
      <c r="X12" s="173"/>
      <c r="Y12" s="80">
        <f t="shared" si="6"/>
        <v>0</v>
      </c>
      <c r="Z12" s="39">
        <v>7.8</v>
      </c>
      <c r="AA12" s="173"/>
      <c r="AB12" s="80">
        <f t="shared" si="7"/>
        <v>0</v>
      </c>
      <c r="AC12" s="39">
        <v>7.8</v>
      </c>
      <c r="AD12" s="173"/>
      <c r="AE12" s="80">
        <f t="shared" si="8"/>
        <v>0</v>
      </c>
    </row>
    <row r="13" spans="1:31" ht="17.25" customHeight="1">
      <c r="A13" s="1539"/>
      <c r="B13" s="1538"/>
      <c r="C13" s="1538"/>
      <c r="D13" s="36">
        <v>35</v>
      </c>
      <c r="E13" s="39">
        <v>2.1</v>
      </c>
      <c r="F13" s="173"/>
      <c r="G13" s="80">
        <f t="shared" si="0"/>
        <v>0</v>
      </c>
      <c r="H13" s="1393">
        <v>2.1</v>
      </c>
      <c r="I13" s="173"/>
      <c r="J13" s="80">
        <f t="shared" si="1"/>
        <v>0</v>
      </c>
      <c r="K13" s="39">
        <v>2.1</v>
      </c>
      <c r="L13" s="173"/>
      <c r="M13" s="80">
        <f t="shared" si="2"/>
        <v>0</v>
      </c>
      <c r="N13" s="1306">
        <v>2.1</v>
      </c>
      <c r="O13" s="173"/>
      <c r="P13" s="80">
        <f t="shared" si="3"/>
        <v>0</v>
      </c>
      <c r="Q13" s="39">
        <v>2.1</v>
      </c>
      <c r="R13" s="173"/>
      <c r="S13" s="80">
        <f t="shared" si="4"/>
        <v>0</v>
      </c>
      <c r="T13" s="39">
        <v>2.1</v>
      </c>
      <c r="U13" s="173"/>
      <c r="V13" s="80">
        <f t="shared" si="5"/>
        <v>0</v>
      </c>
      <c r="W13" s="39">
        <v>2.1</v>
      </c>
      <c r="X13" s="173"/>
      <c r="Y13" s="80">
        <f t="shared" si="6"/>
        <v>0</v>
      </c>
      <c r="Z13" s="39">
        <v>2.1</v>
      </c>
      <c r="AA13" s="173"/>
      <c r="AB13" s="80">
        <f t="shared" si="7"/>
        <v>0</v>
      </c>
      <c r="AC13" s="39">
        <v>2.1</v>
      </c>
      <c r="AD13" s="173"/>
      <c r="AE13" s="80">
        <f t="shared" si="8"/>
        <v>0</v>
      </c>
    </row>
    <row r="14" spans="1:31" ht="19.5" customHeight="1">
      <c r="A14" s="1540"/>
      <c r="B14" s="1511"/>
      <c r="C14" s="1511"/>
      <c r="D14" s="81" t="s">
        <v>372</v>
      </c>
      <c r="E14" s="53">
        <v>1</v>
      </c>
      <c r="F14" s="173"/>
      <c r="G14" s="80">
        <f t="shared" si="0"/>
        <v>0</v>
      </c>
      <c r="H14" s="53">
        <v>1</v>
      </c>
      <c r="I14" s="173"/>
      <c r="J14" s="80">
        <f t="shared" si="1"/>
        <v>0</v>
      </c>
      <c r="K14" s="53">
        <v>1</v>
      </c>
      <c r="L14" s="173"/>
      <c r="M14" s="80">
        <f t="shared" si="2"/>
        <v>0</v>
      </c>
      <c r="N14" s="53">
        <v>1</v>
      </c>
      <c r="O14" s="173"/>
      <c r="P14" s="80">
        <f t="shared" si="3"/>
        <v>0</v>
      </c>
      <c r="Q14" s="53">
        <v>1</v>
      </c>
      <c r="R14" s="173"/>
      <c r="S14" s="80">
        <f t="shared" si="4"/>
        <v>0</v>
      </c>
      <c r="T14" s="53">
        <v>1</v>
      </c>
      <c r="U14" s="173"/>
      <c r="V14" s="80">
        <f t="shared" si="5"/>
        <v>0</v>
      </c>
      <c r="W14" s="53">
        <v>1</v>
      </c>
      <c r="X14" s="173"/>
      <c r="Y14" s="80">
        <f t="shared" si="6"/>
        <v>0</v>
      </c>
      <c r="Z14" s="53">
        <v>1</v>
      </c>
      <c r="AA14" s="173"/>
      <c r="AB14" s="80">
        <f t="shared" si="7"/>
        <v>0</v>
      </c>
      <c r="AC14" s="53">
        <v>1</v>
      </c>
      <c r="AD14" s="173"/>
      <c r="AE14" s="80">
        <f t="shared" si="8"/>
        <v>0</v>
      </c>
    </row>
    <row r="15" spans="1:31">
      <c r="A15" s="1533">
        <v>3</v>
      </c>
      <c r="B15" s="1537" t="s">
        <v>373</v>
      </c>
      <c r="C15" s="1537" t="s">
        <v>338</v>
      </c>
      <c r="D15" s="36">
        <v>220</v>
      </c>
      <c r="E15" s="39">
        <v>43</v>
      </c>
      <c r="F15" s="173"/>
      <c r="G15" s="80">
        <f t="shared" si="0"/>
        <v>0</v>
      </c>
      <c r="H15" s="1393">
        <v>43</v>
      </c>
      <c r="I15" s="173"/>
      <c r="J15" s="80">
        <f t="shared" si="1"/>
        <v>0</v>
      </c>
      <c r="K15" s="39">
        <v>43</v>
      </c>
      <c r="L15" s="173"/>
      <c r="M15" s="80">
        <f t="shared" si="2"/>
        <v>0</v>
      </c>
      <c r="N15" s="1306">
        <v>43</v>
      </c>
      <c r="O15" s="173"/>
      <c r="P15" s="80">
        <f t="shared" si="3"/>
        <v>0</v>
      </c>
      <c r="Q15" s="39">
        <v>43</v>
      </c>
      <c r="R15" s="173"/>
      <c r="S15" s="80">
        <f t="shared" si="4"/>
        <v>0</v>
      </c>
      <c r="T15" s="39">
        <v>43</v>
      </c>
      <c r="U15" s="173"/>
      <c r="V15" s="80">
        <f t="shared" si="5"/>
        <v>0</v>
      </c>
      <c r="W15" s="39">
        <v>43</v>
      </c>
      <c r="X15" s="173"/>
      <c r="Y15" s="80">
        <f t="shared" si="6"/>
        <v>0</v>
      </c>
      <c r="Z15" s="39">
        <v>43</v>
      </c>
      <c r="AA15" s="173"/>
      <c r="AB15" s="80">
        <f t="shared" si="7"/>
        <v>0</v>
      </c>
      <c r="AC15" s="39">
        <v>43</v>
      </c>
      <c r="AD15" s="173"/>
      <c r="AE15" s="80">
        <f t="shared" si="8"/>
        <v>0</v>
      </c>
    </row>
    <row r="16" spans="1:31">
      <c r="A16" s="1539"/>
      <c r="B16" s="1538"/>
      <c r="C16" s="1538"/>
      <c r="D16" s="36" t="s">
        <v>369</v>
      </c>
      <c r="E16" s="39">
        <v>26</v>
      </c>
      <c r="F16" s="173"/>
      <c r="G16" s="80">
        <f t="shared" si="0"/>
        <v>0</v>
      </c>
      <c r="H16" s="1393">
        <v>26</v>
      </c>
      <c r="I16" s="173"/>
      <c r="J16" s="80">
        <f t="shared" si="1"/>
        <v>0</v>
      </c>
      <c r="K16" s="39">
        <v>26</v>
      </c>
      <c r="L16" s="173"/>
      <c r="M16" s="80">
        <f t="shared" si="2"/>
        <v>0</v>
      </c>
      <c r="N16" s="1306">
        <v>26</v>
      </c>
      <c r="O16" s="173"/>
      <c r="P16" s="80">
        <f t="shared" si="3"/>
        <v>0</v>
      </c>
      <c r="Q16" s="39">
        <v>26</v>
      </c>
      <c r="R16" s="173"/>
      <c r="S16" s="80">
        <f t="shared" si="4"/>
        <v>0</v>
      </c>
      <c r="T16" s="39">
        <v>26</v>
      </c>
      <c r="U16" s="173"/>
      <c r="V16" s="80">
        <f t="shared" si="5"/>
        <v>0</v>
      </c>
      <c r="W16" s="39">
        <v>26</v>
      </c>
      <c r="X16" s="173"/>
      <c r="Y16" s="80">
        <f t="shared" si="6"/>
        <v>0</v>
      </c>
      <c r="Z16" s="39">
        <v>26</v>
      </c>
      <c r="AA16" s="173"/>
      <c r="AB16" s="80">
        <f t="shared" si="7"/>
        <v>0</v>
      </c>
      <c r="AC16" s="39">
        <v>26</v>
      </c>
      <c r="AD16" s="173"/>
      <c r="AE16" s="80">
        <f t="shared" si="8"/>
        <v>0</v>
      </c>
    </row>
    <row r="17" spans="1:31">
      <c r="A17" s="1539"/>
      <c r="B17" s="1538"/>
      <c r="C17" s="1538"/>
      <c r="D17" s="36">
        <v>35</v>
      </c>
      <c r="E17" s="39">
        <v>11</v>
      </c>
      <c r="F17" s="173"/>
      <c r="G17" s="80">
        <f t="shared" si="0"/>
        <v>0</v>
      </c>
      <c r="H17" s="1393">
        <v>11</v>
      </c>
      <c r="I17" s="173"/>
      <c r="J17" s="80">
        <f t="shared" si="1"/>
        <v>0</v>
      </c>
      <c r="K17" s="39">
        <v>11</v>
      </c>
      <c r="L17" s="173"/>
      <c r="M17" s="80">
        <f t="shared" si="2"/>
        <v>0</v>
      </c>
      <c r="N17" s="1306">
        <v>11</v>
      </c>
      <c r="O17" s="173"/>
      <c r="P17" s="80">
        <f t="shared" si="3"/>
        <v>0</v>
      </c>
      <c r="Q17" s="39">
        <v>11</v>
      </c>
      <c r="R17" s="173"/>
      <c r="S17" s="80">
        <f t="shared" si="4"/>
        <v>0</v>
      </c>
      <c r="T17" s="39">
        <v>11</v>
      </c>
      <c r="U17" s="173"/>
      <c r="V17" s="80">
        <f t="shared" si="5"/>
        <v>0</v>
      </c>
      <c r="W17" s="39">
        <v>11</v>
      </c>
      <c r="X17" s="173"/>
      <c r="Y17" s="80">
        <f t="shared" si="6"/>
        <v>0</v>
      </c>
      <c r="Z17" s="39">
        <v>11</v>
      </c>
      <c r="AA17" s="173"/>
      <c r="AB17" s="80">
        <f t="shared" si="7"/>
        <v>0</v>
      </c>
      <c r="AC17" s="39">
        <v>11</v>
      </c>
      <c r="AD17" s="173"/>
      <c r="AE17" s="80">
        <f t="shared" si="8"/>
        <v>0</v>
      </c>
    </row>
    <row r="18" spans="1:31">
      <c r="A18" s="1540"/>
      <c r="B18" s="1511"/>
      <c r="C18" s="1511"/>
      <c r="D18" s="81" t="s">
        <v>372</v>
      </c>
      <c r="E18" s="39">
        <v>5.5</v>
      </c>
      <c r="F18" s="173"/>
      <c r="G18" s="80">
        <f t="shared" si="0"/>
        <v>0</v>
      </c>
      <c r="H18" s="1393">
        <v>5.5</v>
      </c>
      <c r="I18" s="173"/>
      <c r="J18" s="80">
        <f t="shared" si="1"/>
        <v>0</v>
      </c>
      <c r="K18" s="39">
        <v>5.5</v>
      </c>
      <c r="L18" s="173"/>
      <c r="M18" s="80">
        <f t="shared" si="2"/>
        <v>0</v>
      </c>
      <c r="N18" s="1306">
        <v>5.5</v>
      </c>
      <c r="O18" s="173"/>
      <c r="P18" s="80">
        <f t="shared" si="3"/>
        <v>0</v>
      </c>
      <c r="Q18" s="39">
        <v>5.5</v>
      </c>
      <c r="R18" s="173"/>
      <c r="S18" s="80">
        <f t="shared" si="4"/>
        <v>0</v>
      </c>
      <c r="T18" s="39">
        <v>5.5</v>
      </c>
      <c r="U18" s="173"/>
      <c r="V18" s="80">
        <f t="shared" si="5"/>
        <v>0</v>
      </c>
      <c r="W18" s="39">
        <v>5.5</v>
      </c>
      <c r="X18" s="173"/>
      <c r="Y18" s="80">
        <f t="shared" si="6"/>
        <v>0</v>
      </c>
      <c r="Z18" s="39">
        <v>5.5</v>
      </c>
      <c r="AA18" s="173"/>
      <c r="AB18" s="80">
        <f t="shared" si="7"/>
        <v>0</v>
      </c>
      <c r="AC18" s="39">
        <v>5.5</v>
      </c>
      <c r="AD18" s="173"/>
      <c r="AE18" s="80">
        <f t="shared" si="8"/>
        <v>0</v>
      </c>
    </row>
    <row r="19" spans="1:31" ht="11.25" customHeight="1">
      <c r="A19" s="1533">
        <v>4</v>
      </c>
      <c r="B19" s="1537" t="s">
        <v>337</v>
      </c>
      <c r="C19" s="1537" t="s">
        <v>277</v>
      </c>
      <c r="D19" s="36">
        <v>220</v>
      </c>
      <c r="E19" s="36">
        <v>23</v>
      </c>
      <c r="F19" s="173"/>
      <c r="G19" s="80">
        <f t="shared" si="0"/>
        <v>0</v>
      </c>
      <c r="H19" s="1394">
        <v>23</v>
      </c>
      <c r="I19" s="173"/>
      <c r="J19" s="80">
        <f t="shared" si="1"/>
        <v>0</v>
      </c>
      <c r="K19" s="36">
        <v>23</v>
      </c>
      <c r="L19" s="173"/>
      <c r="M19" s="80">
        <f t="shared" si="2"/>
        <v>0</v>
      </c>
      <c r="N19" s="1305">
        <v>23</v>
      </c>
      <c r="O19" s="173"/>
      <c r="P19" s="80">
        <f t="shared" si="3"/>
        <v>0</v>
      </c>
      <c r="Q19" s="36">
        <v>23</v>
      </c>
      <c r="R19" s="173"/>
      <c r="S19" s="80">
        <f t="shared" si="4"/>
        <v>0</v>
      </c>
      <c r="T19" s="36">
        <v>23</v>
      </c>
      <c r="U19" s="173"/>
      <c r="V19" s="80">
        <f t="shared" si="5"/>
        <v>0</v>
      </c>
      <c r="W19" s="36">
        <v>23</v>
      </c>
      <c r="X19" s="173"/>
      <c r="Y19" s="80">
        <f t="shared" si="6"/>
        <v>0</v>
      </c>
      <c r="Z19" s="36">
        <v>23</v>
      </c>
      <c r="AA19" s="173"/>
      <c r="AB19" s="80">
        <f t="shared" si="7"/>
        <v>0</v>
      </c>
      <c r="AC19" s="36">
        <v>23</v>
      </c>
      <c r="AD19" s="173"/>
      <c r="AE19" s="80">
        <f t="shared" si="8"/>
        <v>0</v>
      </c>
    </row>
    <row r="20" spans="1:31">
      <c r="A20" s="1539"/>
      <c r="B20" s="1538"/>
      <c r="C20" s="1538"/>
      <c r="D20" s="36" t="s">
        <v>369</v>
      </c>
      <c r="E20" s="36">
        <v>14</v>
      </c>
      <c r="F20" s="173"/>
      <c r="G20" s="80">
        <f t="shared" si="0"/>
        <v>0</v>
      </c>
      <c r="H20" s="1394">
        <v>14</v>
      </c>
      <c r="I20" s="173"/>
      <c r="J20" s="80">
        <f t="shared" si="1"/>
        <v>0</v>
      </c>
      <c r="K20" s="36">
        <v>14</v>
      </c>
      <c r="L20" s="173"/>
      <c r="M20" s="80">
        <f t="shared" si="2"/>
        <v>0</v>
      </c>
      <c r="N20" s="1305">
        <v>14</v>
      </c>
      <c r="O20" s="173"/>
      <c r="P20" s="80">
        <f t="shared" si="3"/>
        <v>0</v>
      </c>
      <c r="Q20" s="36">
        <v>14</v>
      </c>
      <c r="R20" s="173"/>
      <c r="S20" s="80">
        <f t="shared" si="4"/>
        <v>0</v>
      </c>
      <c r="T20" s="36">
        <v>14</v>
      </c>
      <c r="U20" s="173"/>
      <c r="V20" s="80">
        <f t="shared" si="5"/>
        <v>0</v>
      </c>
      <c r="W20" s="36">
        <v>14</v>
      </c>
      <c r="X20" s="173"/>
      <c r="Y20" s="80">
        <f t="shared" si="6"/>
        <v>0</v>
      </c>
      <c r="Z20" s="36">
        <v>14</v>
      </c>
      <c r="AA20" s="173"/>
      <c r="AB20" s="80">
        <f t="shared" si="7"/>
        <v>0</v>
      </c>
      <c r="AC20" s="36">
        <v>14</v>
      </c>
      <c r="AD20" s="173"/>
      <c r="AE20" s="80">
        <f t="shared" si="8"/>
        <v>0</v>
      </c>
    </row>
    <row r="21" spans="1:31">
      <c r="A21" s="1539"/>
      <c r="B21" s="1538"/>
      <c r="C21" s="1538"/>
      <c r="D21" s="36">
        <v>35</v>
      </c>
      <c r="E21" s="36">
        <v>6.4</v>
      </c>
      <c r="F21" s="173"/>
      <c r="G21" s="80">
        <f t="shared" si="0"/>
        <v>0</v>
      </c>
      <c r="H21" s="1394">
        <v>6.4</v>
      </c>
      <c r="I21" s="173"/>
      <c r="J21" s="80">
        <f t="shared" si="1"/>
        <v>0</v>
      </c>
      <c r="K21" s="36">
        <v>6.4</v>
      </c>
      <c r="L21" s="173"/>
      <c r="M21" s="80">
        <f t="shared" si="2"/>
        <v>0</v>
      </c>
      <c r="N21" s="1305">
        <v>6.4</v>
      </c>
      <c r="O21" s="173"/>
      <c r="P21" s="80">
        <f t="shared" si="3"/>
        <v>0</v>
      </c>
      <c r="Q21" s="36">
        <v>6.4</v>
      </c>
      <c r="R21" s="173"/>
      <c r="S21" s="80">
        <f t="shared" si="4"/>
        <v>0</v>
      </c>
      <c r="T21" s="36">
        <v>6.4</v>
      </c>
      <c r="U21" s="173"/>
      <c r="V21" s="80">
        <f t="shared" si="5"/>
        <v>0</v>
      </c>
      <c r="W21" s="36">
        <v>6.4</v>
      </c>
      <c r="X21" s="173"/>
      <c r="Y21" s="80">
        <f t="shared" si="6"/>
        <v>0</v>
      </c>
      <c r="Z21" s="36">
        <v>6.4</v>
      </c>
      <c r="AA21" s="173"/>
      <c r="AB21" s="80">
        <f t="shared" si="7"/>
        <v>0</v>
      </c>
      <c r="AC21" s="36">
        <v>6.4</v>
      </c>
      <c r="AD21" s="173"/>
      <c r="AE21" s="80">
        <f t="shared" si="8"/>
        <v>0</v>
      </c>
    </row>
    <row r="22" spans="1:31">
      <c r="A22" s="1540"/>
      <c r="B22" s="1511"/>
      <c r="C22" s="1511"/>
      <c r="D22" s="81" t="s">
        <v>372</v>
      </c>
      <c r="E22" s="36">
        <v>3.1</v>
      </c>
      <c r="F22" s="173">
        <v>32</v>
      </c>
      <c r="G22" s="80">
        <f t="shared" si="0"/>
        <v>99.2</v>
      </c>
      <c r="H22" s="1394">
        <v>3.1</v>
      </c>
      <c r="I22" s="173">
        <v>32</v>
      </c>
      <c r="J22" s="80">
        <f t="shared" si="1"/>
        <v>99.2</v>
      </c>
      <c r="K22" s="36">
        <v>3.1</v>
      </c>
      <c r="L22" s="173">
        <v>27</v>
      </c>
      <c r="M22" s="80">
        <f t="shared" si="2"/>
        <v>83.7</v>
      </c>
      <c r="N22" s="1305">
        <v>3.1</v>
      </c>
      <c r="O22" s="173">
        <v>30</v>
      </c>
      <c r="P22" s="80">
        <f t="shared" si="3"/>
        <v>93</v>
      </c>
      <c r="Q22" s="36">
        <v>3.1</v>
      </c>
      <c r="R22" s="173">
        <v>32</v>
      </c>
      <c r="S22" s="80">
        <f t="shared" si="4"/>
        <v>99.2</v>
      </c>
      <c r="T22" s="36">
        <v>3.1</v>
      </c>
      <c r="U22" s="173">
        <v>32</v>
      </c>
      <c r="V22" s="80">
        <f t="shared" si="5"/>
        <v>99.2</v>
      </c>
      <c r="W22" s="36">
        <v>3.1</v>
      </c>
      <c r="X22" s="173">
        <f>U22</f>
        <v>32</v>
      </c>
      <c r="Y22" s="80">
        <f t="shared" si="6"/>
        <v>99.2</v>
      </c>
      <c r="Z22" s="36">
        <v>3.1</v>
      </c>
      <c r="AA22" s="173">
        <f>X22</f>
        <v>32</v>
      </c>
      <c r="AB22" s="80">
        <f t="shared" si="7"/>
        <v>99.2</v>
      </c>
      <c r="AC22" s="36">
        <v>3.1</v>
      </c>
      <c r="AD22" s="173">
        <f>AA22</f>
        <v>32</v>
      </c>
      <c r="AE22" s="80">
        <f t="shared" si="8"/>
        <v>99.2</v>
      </c>
    </row>
    <row r="23" spans="1:31" ht="12.75" customHeight="1">
      <c r="A23" s="1533">
        <v>5</v>
      </c>
      <c r="B23" s="1537" t="s">
        <v>374</v>
      </c>
      <c r="C23" s="1537" t="s">
        <v>371</v>
      </c>
      <c r="D23" s="36">
        <v>220</v>
      </c>
      <c r="E23" s="36">
        <v>19</v>
      </c>
      <c r="F23" s="173"/>
      <c r="G23" s="80">
        <f t="shared" si="0"/>
        <v>0</v>
      </c>
      <c r="H23" s="1394">
        <v>19</v>
      </c>
      <c r="I23" s="173"/>
      <c r="J23" s="80">
        <f t="shared" si="1"/>
        <v>0</v>
      </c>
      <c r="K23" s="36">
        <v>19</v>
      </c>
      <c r="L23" s="173"/>
      <c r="M23" s="80">
        <f t="shared" si="2"/>
        <v>0</v>
      </c>
      <c r="N23" s="1305">
        <v>19</v>
      </c>
      <c r="O23" s="173"/>
      <c r="P23" s="80">
        <f t="shared" si="3"/>
        <v>0</v>
      </c>
      <c r="Q23" s="36">
        <v>19</v>
      </c>
      <c r="R23" s="173"/>
      <c r="S23" s="80">
        <f t="shared" si="4"/>
        <v>0</v>
      </c>
      <c r="T23" s="36">
        <v>19</v>
      </c>
      <c r="U23" s="173"/>
      <c r="V23" s="80">
        <f t="shared" si="5"/>
        <v>0</v>
      </c>
      <c r="W23" s="36">
        <v>19</v>
      </c>
      <c r="X23" s="173"/>
      <c r="Y23" s="80">
        <f t="shared" si="6"/>
        <v>0</v>
      </c>
      <c r="Z23" s="36">
        <v>19</v>
      </c>
      <c r="AA23" s="173"/>
      <c r="AB23" s="80">
        <f t="shared" si="7"/>
        <v>0</v>
      </c>
      <c r="AC23" s="36">
        <v>19</v>
      </c>
      <c r="AD23" s="173"/>
      <c r="AE23" s="80">
        <f t="shared" si="8"/>
        <v>0</v>
      </c>
    </row>
    <row r="24" spans="1:31" ht="12.75" customHeight="1">
      <c r="A24" s="1539"/>
      <c r="B24" s="1538"/>
      <c r="C24" s="1538"/>
      <c r="D24" s="36" t="s">
        <v>369</v>
      </c>
      <c r="E24" s="36">
        <v>9.5</v>
      </c>
      <c r="F24" s="173"/>
      <c r="G24" s="80">
        <f t="shared" si="0"/>
        <v>0</v>
      </c>
      <c r="H24" s="1394">
        <v>9.5</v>
      </c>
      <c r="I24" s="173"/>
      <c r="J24" s="80">
        <f t="shared" si="1"/>
        <v>0</v>
      </c>
      <c r="K24" s="36">
        <v>9.5</v>
      </c>
      <c r="L24" s="173"/>
      <c r="M24" s="80">
        <f t="shared" si="2"/>
        <v>0</v>
      </c>
      <c r="N24" s="1305">
        <v>9.5</v>
      </c>
      <c r="O24" s="173"/>
      <c r="P24" s="80">
        <f t="shared" si="3"/>
        <v>0</v>
      </c>
      <c r="Q24" s="36">
        <v>9.5</v>
      </c>
      <c r="R24" s="173"/>
      <c r="S24" s="80">
        <f t="shared" si="4"/>
        <v>0</v>
      </c>
      <c r="T24" s="36">
        <v>9.5</v>
      </c>
      <c r="U24" s="173"/>
      <c r="V24" s="80">
        <f t="shared" si="5"/>
        <v>0</v>
      </c>
      <c r="W24" s="36">
        <v>9.5</v>
      </c>
      <c r="X24" s="173"/>
      <c r="Y24" s="80">
        <f t="shared" si="6"/>
        <v>0</v>
      </c>
      <c r="Z24" s="36">
        <v>9.5</v>
      </c>
      <c r="AA24" s="173"/>
      <c r="AB24" s="80">
        <f t="shared" si="7"/>
        <v>0</v>
      </c>
      <c r="AC24" s="36">
        <v>9.5</v>
      </c>
      <c r="AD24" s="173"/>
      <c r="AE24" s="80">
        <f t="shared" si="8"/>
        <v>0</v>
      </c>
    </row>
    <row r="25" spans="1:31" ht="12.75" customHeight="1">
      <c r="A25" s="1540"/>
      <c r="B25" s="1511"/>
      <c r="C25" s="1511"/>
      <c r="D25" s="36">
        <v>35</v>
      </c>
      <c r="E25" s="36">
        <v>4.7</v>
      </c>
      <c r="F25" s="173"/>
      <c r="G25" s="80">
        <f t="shared" si="0"/>
        <v>0</v>
      </c>
      <c r="H25" s="1394">
        <v>4.7</v>
      </c>
      <c r="I25" s="173"/>
      <c r="J25" s="80">
        <f t="shared" si="1"/>
        <v>0</v>
      </c>
      <c r="K25" s="36">
        <v>4.7</v>
      </c>
      <c r="L25" s="173"/>
      <c r="M25" s="80">
        <f t="shared" si="2"/>
        <v>0</v>
      </c>
      <c r="N25" s="1305">
        <v>4.7</v>
      </c>
      <c r="O25" s="173"/>
      <c r="P25" s="80">
        <f t="shared" si="3"/>
        <v>0</v>
      </c>
      <c r="Q25" s="36">
        <v>4.7</v>
      </c>
      <c r="R25" s="173"/>
      <c r="S25" s="80">
        <f t="shared" si="4"/>
        <v>0</v>
      </c>
      <c r="T25" s="36">
        <v>4.7</v>
      </c>
      <c r="U25" s="173"/>
      <c r="V25" s="80">
        <f t="shared" si="5"/>
        <v>0</v>
      </c>
      <c r="W25" s="36">
        <v>4.7</v>
      </c>
      <c r="X25" s="173"/>
      <c r="Y25" s="80">
        <f t="shared" si="6"/>
        <v>0</v>
      </c>
      <c r="Z25" s="36">
        <v>4.7</v>
      </c>
      <c r="AA25" s="173"/>
      <c r="AB25" s="80">
        <f t="shared" si="7"/>
        <v>0</v>
      </c>
      <c r="AC25" s="36">
        <v>4.7</v>
      </c>
      <c r="AD25" s="173"/>
      <c r="AE25" s="80">
        <f t="shared" si="8"/>
        <v>0</v>
      </c>
    </row>
    <row r="26" spans="1:31" ht="25.5">
      <c r="A26" s="60">
        <v>6</v>
      </c>
      <c r="B26" s="36" t="s">
        <v>339</v>
      </c>
      <c r="C26" s="36" t="s">
        <v>277</v>
      </c>
      <c r="D26" s="54" t="s">
        <v>372</v>
      </c>
      <c r="E26" s="36">
        <v>2.2999999999999998</v>
      </c>
      <c r="F26" s="1313">
        <v>106</v>
      </c>
      <c r="G26" s="80">
        <f t="shared" si="0"/>
        <v>243.79999999999998</v>
      </c>
      <c r="H26" s="1394">
        <v>2.2999999999999998</v>
      </c>
      <c r="I26" s="1313">
        <v>106</v>
      </c>
      <c r="J26" s="80">
        <f t="shared" si="1"/>
        <v>243.79999999999998</v>
      </c>
      <c r="K26" s="36">
        <v>2.2999999999999998</v>
      </c>
      <c r="L26" s="1302">
        <v>41</v>
      </c>
      <c r="M26" s="80">
        <f t="shared" si="2"/>
        <v>94.3</v>
      </c>
      <c r="N26" s="1305">
        <v>2.2999999999999998</v>
      </c>
      <c r="O26" s="1313">
        <v>138</v>
      </c>
      <c r="P26" s="80">
        <f t="shared" si="3"/>
        <v>317.39999999999998</v>
      </c>
      <c r="Q26" s="36">
        <v>2.2999999999999998</v>
      </c>
      <c r="R26" s="1313">
        <v>106</v>
      </c>
      <c r="S26" s="80">
        <f t="shared" si="4"/>
        <v>243.79999999999998</v>
      </c>
      <c r="T26" s="36">
        <v>2.2999999999999998</v>
      </c>
      <c r="U26" s="1313">
        <v>106</v>
      </c>
      <c r="V26" s="80">
        <f t="shared" si="5"/>
        <v>243.79999999999998</v>
      </c>
      <c r="W26" s="36">
        <v>2.2999999999999998</v>
      </c>
      <c r="X26" s="1313">
        <f>U26</f>
        <v>106</v>
      </c>
      <c r="Y26" s="80">
        <f t="shared" si="6"/>
        <v>243.79999999999998</v>
      </c>
      <c r="Z26" s="36">
        <v>2.2999999999999998</v>
      </c>
      <c r="AA26" s="1313">
        <f>X26</f>
        <v>106</v>
      </c>
      <c r="AB26" s="80">
        <f t="shared" si="7"/>
        <v>243.79999999999998</v>
      </c>
      <c r="AC26" s="36">
        <v>2.2999999999999998</v>
      </c>
      <c r="AD26" s="1313">
        <f>AA26</f>
        <v>106</v>
      </c>
      <c r="AE26" s="80">
        <f t="shared" si="8"/>
        <v>243.79999999999998</v>
      </c>
    </row>
    <row r="27" spans="1:31" ht="38.25">
      <c r="A27" s="60">
        <v>7</v>
      </c>
      <c r="B27" s="36" t="s">
        <v>375</v>
      </c>
      <c r="C27" s="36" t="s">
        <v>277</v>
      </c>
      <c r="D27" s="54" t="s">
        <v>372</v>
      </c>
      <c r="E27" s="36">
        <v>26</v>
      </c>
      <c r="F27" s="173"/>
      <c r="G27" s="80">
        <f t="shared" si="0"/>
        <v>0</v>
      </c>
      <c r="H27" s="1394">
        <v>26</v>
      </c>
      <c r="I27" s="173"/>
      <c r="J27" s="80">
        <f t="shared" si="1"/>
        <v>0</v>
      </c>
      <c r="K27" s="36">
        <v>26</v>
      </c>
      <c r="L27" s="173"/>
      <c r="M27" s="80">
        <f t="shared" si="2"/>
        <v>0</v>
      </c>
      <c r="N27" s="1305">
        <v>26</v>
      </c>
      <c r="O27" s="173"/>
      <c r="P27" s="80">
        <f t="shared" si="3"/>
        <v>0</v>
      </c>
      <c r="Q27" s="36">
        <v>26</v>
      </c>
      <c r="R27" s="173"/>
      <c r="S27" s="80">
        <f t="shared" si="4"/>
        <v>0</v>
      </c>
      <c r="T27" s="36">
        <v>26</v>
      </c>
      <c r="U27" s="173"/>
      <c r="V27" s="80">
        <f t="shared" si="5"/>
        <v>0</v>
      </c>
      <c r="W27" s="36">
        <v>26</v>
      </c>
      <c r="X27" s="173"/>
      <c r="Y27" s="80">
        <f t="shared" si="6"/>
        <v>0</v>
      </c>
      <c r="Z27" s="36">
        <v>26</v>
      </c>
      <c r="AA27" s="173"/>
      <c r="AB27" s="80">
        <f t="shared" si="7"/>
        <v>0</v>
      </c>
      <c r="AC27" s="36">
        <v>26</v>
      </c>
      <c r="AD27" s="173"/>
      <c r="AE27" s="80">
        <f t="shared" si="8"/>
        <v>0</v>
      </c>
    </row>
    <row r="28" spans="1:31" ht="25.5">
      <c r="A28" s="60">
        <v>8</v>
      </c>
      <c r="B28" s="36" t="s">
        <v>376</v>
      </c>
      <c r="C28" s="36" t="s">
        <v>277</v>
      </c>
      <c r="D28" s="54" t="s">
        <v>372</v>
      </c>
      <c r="E28" s="36">
        <v>48</v>
      </c>
      <c r="F28" s="173"/>
      <c r="G28" s="80">
        <f t="shared" si="0"/>
        <v>0</v>
      </c>
      <c r="H28" s="1394">
        <v>48</v>
      </c>
      <c r="I28" s="173"/>
      <c r="J28" s="80">
        <f t="shared" si="1"/>
        <v>0</v>
      </c>
      <c r="K28" s="36">
        <v>48</v>
      </c>
      <c r="L28" s="173"/>
      <c r="M28" s="80">
        <f t="shared" si="2"/>
        <v>0</v>
      </c>
      <c r="N28" s="1305">
        <v>48</v>
      </c>
      <c r="O28" s="173"/>
      <c r="P28" s="80">
        <f t="shared" si="3"/>
        <v>0</v>
      </c>
      <c r="Q28" s="36">
        <v>48</v>
      </c>
      <c r="R28" s="173"/>
      <c r="S28" s="80">
        <f t="shared" si="4"/>
        <v>0</v>
      </c>
      <c r="T28" s="36">
        <v>48</v>
      </c>
      <c r="U28" s="173"/>
      <c r="V28" s="80">
        <f t="shared" si="5"/>
        <v>0</v>
      </c>
      <c r="W28" s="36">
        <v>48</v>
      </c>
      <c r="X28" s="173"/>
      <c r="Y28" s="80">
        <f t="shared" si="6"/>
        <v>0</v>
      </c>
      <c r="Z28" s="36">
        <v>48</v>
      </c>
      <c r="AA28" s="173"/>
      <c r="AB28" s="80">
        <f t="shared" si="7"/>
        <v>0</v>
      </c>
      <c r="AC28" s="36">
        <v>48</v>
      </c>
      <c r="AD28" s="173"/>
      <c r="AE28" s="80">
        <f t="shared" si="8"/>
        <v>0</v>
      </c>
    </row>
    <row r="29" spans="1:31" ht="13.5" customHeight="1">
      <c r="A29" s="1539">
        <v>9</v>
      </c>
      <c r="B29" s="1538" t="s">
        <v>377</v>
      </c>
      <c r="C29" s="1538" t="s">
        <v>378</v>
      </c>
      <c r="D29" s="37">
        <v>35</v>
      </c>
      <c r="E29" s="37">
        <v>2.4</v>
      </c>
      <c r="F29" s="172"/>
      <c r="G29" s="80">
        <f t="shared" si="0"/>
        <v>0</v>
      </c>
      <c r="H29" s="1399">
        <v>2.4</v>
      </c>
      <c r="I29" s="172"/>
      <c r="J29" s="80">
        <f t="shared" si="1"/>
        <v>0</v>
      </c>
      <c r="K29" s="37">
        <v>2.4</v>
      </c>
      <c r="L29" s="172"/>
      <c r="M29" s="80">
        <f t="shared" si="2"/>
        <v>0</v>
      </c>
      <c r="N29" s="1304">
        <v>2.4</v>
      </c>
      <c r="O29" s="172"/>
      <c r="P29" s="80">
        <f t="shared" si="3"/>
        <v>0</v>
      </c>
      <c r="Q29" s="37">
        <v>2.4</v>
      </c>
      <c r="R29" s="172"/>
      <c r="S29" s="80">
        <f t="shared" si="4"/>
        <v>0</v>
      </c>
      <c r="T29" s="37">
        <v>2.4</v>
      </c>
      <c r="U29" s="172"/>
      <c r="V29" s="80">
        <f t="shared" si="5"/>
        <v>0</v>
      </c>
      <c r="W29" s="37">
        <v>2.4</v>
      </c>
      <c r="X29" s="172"/>
      <c r="Y29" s="80">
        <f t="shared" si="6"/>
        <v>0</v>
      </c>
      <c r="Z29" s="37">
        <v>2.4</v>
      </c>
      <c r="AA29" s="172"/>
      <c r="AB29" s="80">
        <f t="shared" si="7"/>
        <v>0</v>
      </c>
      <c r="AC29" s="37">
        <v>2.4</v>
      </c>
      <c r="AD29" s="172"/>
      <c r="AE29" s="80">
        <f t="shared" si="8"/>
        <v>0</v>
      </c>
    </row>
    <row r="30" spans="1:31">
      <c r="A30" s="1540"/>
      <c r="B30" s="1511"/>
      <c r="C30" s="1511"/>
      <c r="D30" s="54" t="s">
        <v>372</v>
      </c>
      <c r="E30" s="36">
        <v>2.4</v>
      </c>
      <c r="F30" s="173"/>
      <c r="G30" s="80">
        <f t="shared" si="0"/>
        <v>0</v>
      </c>
      <c r="H30" s="1394">
        <v>2.4</v>
      </c>
      <c r="I30" s="173"/>
      <c r="J30" s="80">
        <f t="shared" si="1"/>
        <v>0</v>
      </c>
      <c r="K30" s="36">
        <v>2.4</v>
      </c>
      <c r="L30" s="173"/>
      <c r="M30" s="80">
        <f t="shared" si="2"/>
        <v>0</v>
      </c>
      <c r="N30" s="1305">
        <v>2.4</v>
      </c>
      <c r="O30" s="173"/>
      <c r="P30" s="80">
        <f t="shared" si="3"/>
        <v>0</v>
      </c>
      <c r="Q30" s="36">
        <v>2.4</v>
      </c>
      <c r="R30" s="173"/>
      <c r="S30" s="80">
        <f t="shared" si="4"/>
        <v>0</v>
      </c>
      <c r="T30" s="36">
        <v>2.4</v>
      </c>
      <c r="U30" s="173"/>
      <c r="V30" s="80">
        <f t="shared" si="5"/>
        <v>0</v>
      </c>
      <c r="W30" s="36">
        <v>2.4</v>
      </c>
      <c r="X30" s="173"/>
      <c r="Y30" s="80">
        <f t="shared" si="6"/>
        <v>0</v>
      </c>
      <c r="Z30" s="36">
        <v>2.4</v>
      </c>
      <c r="AA30" s="173"/>
      <c r="AB30" s="80">
        <f t="shared" si="7"/>
        <v>0</v>
      </c>
      <c r="AC30" s="36">
        <v>2.4</v>
      </c>
      <c r="AD30" s="173"/>
      <c r="AE30" s="80">
        <f t="shared" si="8"/>
        <v>0</v>
      </c>
    </row>
    <row r="31" spans="1:31" ht="25.5">
      <c r="A31" s="60">
        <v>10</v>
      </c>
      <c r="B31" s="36" t="s">
        <v>333</v>
      </c>
      <c r="C31" s="36" t="s">
        <v>334</v>
      </c>
      <c r="D31" s="54" t="s">
        <v>372</v>
      </c>
      <c r="E31" s="36">
        <v>2.5</v>
      </c>
      <c r="F31" s="173">
        <v>23</v>
      </c>
      <c r="G31" s="80">
        <f t="shared" si="0"/>
        <v>57.5</v>
      </c>
      <c r="H31" s="1394">
        <v>2.5</v>
      </c>
      <c r="I31" s="173">
        <v>25</v>
      </c>
      <c r="J31" s="80">
        <f t="shared" si="1"/>
        <v>62.5</v>
      </c>
      <c r="K31" s="36">
        <v>2.5</v>
      </c>
      <c r="L31" s="173">
        <v>25</v>
      </c>
      <c r="M31" s="80">
        <f t="shared" si="2"/>
        <v>62.5</v>
      </c>
      <c r="N31" s="1305">
        <v>2.5</v>
      </c>
      <c r="O31" s="173">
        <v>24</v>
      </c>
      <c r="P31" s="80">
        <f t="shared" si="3"/>
        <v>60</v>
      </c>
      <c r="Q31" s="36">
        <v>2.5</v>
      </c>
      <c r="R31" s="173">
        <v>24</v>
      </c>
      <c r="S31" s="80">
        <f t="shared" si="4"/>
        <v>60</v>
      </c>
      <c r="T31" s="36">
        <v>2.5</v>
      </c>
      <c r="U31" s="173">
        <v>25</v>
      </c>
      <c r="V31" s="80">
        <f t="shared" si="5"/>
        <v>62.5</v>
      </c>
      <c r="W31" s="36">
        <v>2.5</v>
      </c>
      <c r="X31" s="173">
        <f>U31</f>
        <v>25</v>
      </c>
      <c r="Y31" s="80">
        <f t="shared" si="6"/>
        <v>62.5</v>
      </c>
      <c r="Z31" s="36">
        <v>2.5</v>
      </c>
      <c r="AA31" s="173">
        <f>X31</f>
        <v>25</v>
      </c>
      <c r="AB31" s="80">
        <f t="shared" si="7"/>
        <v>62.5</v>
      </c>
      <c r="AC31" s="36">
        <v>2.5</v>
      </c>
      <c r="AD31" s="173">
        <f>AA31</f>
        <v>25</v>
      </c>
      <c r="AE31" s="80">
        <f t="shared" si="8"/>
        <v>62.5</v>
      </c>
    </row>
    <row r="32" spans="1:31" ht="25.5">
      <c r="A32" s="60">
        <v>11</v>
      </c>
      <c r="B32" s="36" t="s">
        <v>379</v>
      </c>
      <c r="C32" s="36" t="s">
        <v>335</v>
      </c>
      <c r="D32" s="54" t="s">
        <v>372</v>
      </c>
      <c r="E32" s="36">
        <v>2.2999999999999998</v>
      </c>
      <c r="F32" s="173">
        <v>45</v>
      </c>
      <c r="G32" s="80">
        <f t="shared" si="0"/>
        <v>103.49999999999999</v>
      </c>
      <c r="H32" s="1394">
        <v>2.2999999999999998</v>
      </c>
      <c r="I32" s="173">
        <v>45</v>
      </c>
      <c r="J32" s="80">
        <f t="shared" si="1"/>
        <v>103.49999999999999</v>
      </c>
      <c r="K32" s="36">
        <v>2.2999999999999998</v>
      </c>
      <c r="L32" s="173">
        <v>42</v>
      </c>
      <c r="M32" s="80">
        <f t="shared" si="2"/>
        <v>96.6</v>
      </c>
      <c r="N32" s="1305">
        <v>2.2999999999999998</v>
      </c>
      <c r="O32" s="173">
        <v>45</v>
      </c>
      <c r="P32" s="80">
        <f t="shared" si="3"/>
        <v>103.49999999999999</v>
      </c>
      <c r="Q32" s="36">
        <v>2.2999999999999998</v>
      </c>
      <c r="R32" s="173">
        <v>45</v>
      </c>
      <c r="S32" s="80">
        <f t="shared" si="4"/>
        <v>103.49999999999999</v>
      </c>
      <c r="T32" s="36">
        <v>2.2999999999999998</v>
      </c>
      <c r="U32" s="173">
        <v>45</v>
      </c>
      <c r="V32" s="80">
        <f t="shared" si="5"/>
        <v>103.49999999999999</v>
      </c>
      <c r="W32" s="36">
        <v>2.2999999999999998</v>
      </c>
      <c r="X32" s="173">
        <f>U32</f>
        <v>45</v>
      </c>
      <c r="Y32" s="80">
        <f t="shared" si="6"/>
        <v>103.49999999999999</v>
      </c>
      <c r="Z32" s="36">
        <v>2.2999999999999998</v>
      </c>
      <c r="AA32" s="173">
        <f>X32</f>
        <v>45</v>
      </c>
      <c r="AB32" s="80">
        <f t="shared" si="7"/>
        <v>103.49999999999999</v>
      </c>
      <c r="AC32" s="36">
        <v>2.2999999999999998</v>
      </c>
      <c r="AD32" s="173">
        <f>AA32</f>
        <v>45</v>
      </c>
      <c r="AE32" s="80">
        <f t="shared" si="8"/>
        <v>103.49999999999999</v>
      </c>
    </row>
    <row r="33" spans="1:31" ht="25.5">
      <c r="A33" s="60">
        <v>12</v>
      </c>
      <c r="B33" s="36" t="s">
        <v>336</v>
      </c>
      <c r="C33" s="36" t="s">
        <v>335</v>
      </c>
      <c r="D33" s="54" t="s">
        <v>372</v>
      </c>
      <c r="E33" s="36">
        <v>3</v>
      </c>
      <c r="F33" s="173">
        <v>11</v>
      </c>
      <c r="G33" s="80">
        <f t="shared" si="0"/>
        <v>33</v>
      </c>
      <c r="H33" s="1394">
        <v>3</v>
      </c>
      <c r="I33" s="173">
        <v>11</v>
      </c>
      <c r="J33" s="80">
        <f t="shared" si="1"/>
        <v>33</v>
      </c>
      <c r="K33" s="36">
        <v>3</v>
      </c>
      <c r="L33" s="173">
        <v>12</v>
      </c>
      <c r="M33" s="80">
        <f t="shared" si="2"/>
        <v>36</v>
      </c>
      <c r="N33" s="1305">
        <v>3</v>
      </c>
      <c r="O33" s="173">
        <v>11</v>
      </c>
      <c r="P33" s="80">
        <f t="shared" si="3"/>
        <v>33</v>
      </c>
      <c r="Q33" s="36">
        <v>3</v>
      </c>
      <c r="R33" s="173">
        <v>11</v>
      </c>
      <c r="S33" s="80">
        <f t="shared" si="4"/>
        <v>33</v>
      </c>
      <c r="T33" s="36">
        <v>3</v>
      </c>
      <c r="U33" s="173">
        <v>11</v>
      </c>
      <c r="V33" s="80">
        <f t="shared" si="5"/>
        <v>33</v>
      </c>
      <c r="W33" s="36">
        <v>3</v>
      </c>
      <c r="X33" s="173">
        <f>U33</f>
        <v>11</v>
      </c>
      <c r="Y33" s="80">
        <f t="shared" si="6"/>
        <v>33</v>
      </c>
      <c r="Z33" s="36">
        <v>3</v>
      </c>
      <c r="AA33" s="173">
        <f>X33</f>
        <v>11</v>
      </c>
      <c r="AB33" s="80">
        <f t="shared" si="7"/>
        <v>33</v>
      </c>
      <c r="AC33" s="36">
        <v>3</v>
      </c>
      <c r="AD33" s="173">
        <f>AA33</f>
        <v>11</v>
      </c>
      <c r="AE33" s="80">
        <f t="shared" si="8"/>
        <v>33</v>
      </c>
    </row>
    <row r="34" spans="1:31" ht="39" thickBot="1">
      <c r="A34" s="63">
        <v>13</v>
      </c>
      <c r="B34" s="35" t="s">
        <v>380</v>
      </c>
      <c r="C34" s="35" t="s">
        <v>332</v>
      </c>
      <c r="D34" s="35">
        <v>35</v>
      </c>
      <c r="E34" s="35">
        <v>3.5</v>
      </c>
      <c r="F34" s="174"/>
      <c r="G34" s="80">
        <f t="shared" si="0"/>
        <v>0</v>
      </c>
      <c r="H34" s="1401">
        <v>3.5</v>
      </c>
      <c r="I34" s="174"/>
      <c r="J34" s="80">
        <f t="shared" si="1"/>
        <v>0</v>
      </c>
      <c r="K34" s="35">
        <v>3.5</v>
      </c>
      <c r="L34" s="174"/>
      <c r="M34" s="80">
        <f t="shared" si="2"/>
        <v>0</v>
      </c>
      <c r="N34" s="1308">
        <v>3.5</v>
      </c>
      <c r="O34" s="174"/>
      <c r="P34" s="80">
        <f t="shared" si="3"/>
        <v>0</v>
      </c>
      <c r="Q34" s="35">
        <v>3.5</v>
      </c>
      <c r="R34" s="174"/>
      <c r="S34" s="80">
        <f t="shared" si="4"/>
        <v>0</v>
      </c>
      <c r="T34" s="35">
        <v>3.5</v>
      </c>
      <c r="U34" s="174"/>
      <c r="V34" s="80">
        <f t="shared" si="5"/>
        <v>0</v>
      </c>
      <c r="W34" s="35">
        <v>3.5</v>
      </c>
      <c r="X34" s="174"/>
      <c r="Y34" s="80">
        <f t="shared" si="6"/>
        <v>0</v>
      </c>
      <c r="Z34" s="35">
        <v>3.5</v>
      </c>
      <c r="AA34" s="174"/>
      <c r="AB34" s="80">
        <f t="shared" si="7"/>
        <v>0</v>
      </c>
      <c r="AC34" s="35">
        <v>3.5</v>
      </c>
      <c r="AD34" s="174"/>
      <c r="AE34" s="80">
        <f t="shared" si="8"/>
        <v>0</v>
      </c>
    </row>
    <row r="35" spans="1:31">
      <c r="A35" s="1545" t="s">
        <v>320</v>
      </c>
      <c r="B35" s="1547" t="s">
        <v>381</v>
      </c>
      <c r="C35" s="1548"/>
      <c r="D35" s="57" t="s">
        <v>382</v>
      </c>
      <c r="E35" s="85" t="s">
        <v>349</v>
      </c>
      <c r="F35" s="85" t="s">
        <v>349</v>
      </c>
      <c r="G35" s="163">
        <f>G8+G11+G15+G19+G23+G9+G12+G16+G20+G24</f>
        <v>0</v>
      </c>
      <c r="H35" s="85" t="s">
        <v>349</v>
      </c>
      <c r="I35" s="85" t="s">
        <v>349</v>
      </c>
      <c r="J35" s="163">
        <f>J8+J11+J15+J19+J23+J9+J12+J16+J20+J24</f>
        <v>0</v>
      </c>
      <c r="K35" s="85" t="s">
        <v>349</v>
      </c>
      <c r="L35" s="85" t="s">
        <v>349</v>
      </c>
      <c r="M35" s="163">
        <f>M8+M11+M15+M19+M23+M9+M12+M16+M20+M24</f>
        <v>0</v>
      </c>
      <c r="N35" s="85" t="s">
        <v>349</v>
      </c>
      <c r="O35" s="85" t="s">
        <v>349</v>
      </c>
      <c r="P35" s="163">
        <f>P8+P11+P15+P19+P23+P9+P12+P16+P20+P24</f>
        <v>0</v>
      </c>
      <c r="Q35" s="85" t="s">
        <v>349</v>
      </c>
      <c r="R35" s="85" t="s">
        <v>349</v>
      </c>
      <c r="S35" s="163">
        <f>S8+S11+S15+S19+S23+S9+S12+S16+S20+S24</f>
        <v>0</v>
      </c>
      <c r="T35" s="85" t="s">
        <v>349</v>
      </c>
      <c r="U35" s="85" t="s">
        <v>349</v>
      </c>
      <c r="V35" s="163">
        <f>V8+V11+V15+V19+V23+V9+V12+V16+V20+V24</f>
        <v>0</v>
      </c>
      <c r="W35" s="85" t="s">
        <v>349</v>
      </c>
      <c r="X35" s="85" t="s">
        <v>349</v>
      </c>
      <c r="Y35" s="163">
        <f>Y8+Y11+Y15+Y19+Y23+Y9+Y12+Y16+Y20+Y24</f>
        <v>0</v>
      </c>
      <c r="Z35" s="85" t="s">
        <v>349</v>
      </c>
      <c r="AA35" s="85" t="s">
        <v>349</v>
      </c>
      <c r="AB35" s="163">
        <f>AB8+AB11+AB15+AB19+AB23+AB9+AB12+AB16+AB20+AB24</f>
        <v>0</v>
      </c>
      <c r="AC35" s="85" t="s">
        <v>349</v>
      </c>
      <c r="AD35" s="85" t="s">
        <v>349</v>
      </c>
      <c r="AE35" s="163">
        <f>AE8+AE11+AE15+AE19+AE23+AE9+AE12+AE16+AE20+AE24</f>
        <v>0</v>
      </c>
    </row>
    <row r="36" spans="1:31">
      <c r="A36" s="1539"/>
      <c r="B36" s="1549"/>
      <c r="C36" s="1550"/>
      <c r="D36" s="76" t="s">
        <v>392</v>
      </c>
      <c r="E36" s="39" t="s">
        <v>349</v>
      </c>
      <c r="F36" s="39" t="s">
        <v>349</v>
      </c>
      <c r="G36" s="164">
        <f>G10+G13+G17+G21+G25+G29+G34</f>
        <v>0</v>
      </c>
      <c r="H36" s="1393" t="s">
        <v>349</v>
      </c>
      <c r="I36" s="1393" t="s">
        <v>349</v>
      </c>
      <c r="J36" s="164">
        <f>J10+J13+J17+J21+J25+J29+J34</f>
        <v>0</v>
      </c>
      <c r="K36" s="39" t="s">
        <v>349</v>
      </c>
      <c r="L36" s="39" t="s">
        <v>349</v>
      </c>
      <c r="M36" s="164">
        <f>M10+M13+M17+M21+M25+M29+M34</f>
        <v>0</v>
      </c>
      <c r="N36" s="1306" t="s">
        <v>349</v>
      </c>
      <c r="O36" s="1306" t="s">
        <v>349</v>
      </c>
      <c r="P36" s="164">
        <f>P10+P13+P17+P21+P25+P29+P34</f>
        <v>0</v>
      </c>
      <c r="Q36" s="39" t="s">
        <v>349</v>
      </c>
      <c r="R36" s="39" t="s">
        <v>349</v>
      </c>
      <c r="S36" s="164">
        <f>S10+S13+S17+S21+S25+S29+S34</f>
        <v>0</v>
      </c>
      <c r="T36" s="39" t="s">
        <v>349</v>
      </c>
      <c r="U36" s="39" t="s">
        <v>349</v>
      </c>
      <c r="V36" s="164">
        <f>V10+V13+V17+V21+V25+V29+V34</f>
        <v>0</v>
      </c>
      <c r="W36" s="39" t="s">
        <v>349</v>
      </c>
      <c r="X36" s="39" t="s">
        <v>349</v>
      </c>
      <c r="Y36" s="164">
        <f>Y10+Y13+Y17+Y21+Y25+Y29+Y34</f>
        <v>0</v>
      </c>
      <c r="Z36" s="39" t="s">
        <v>349</v>
      </c>
      <c r="AA36" s="39" t="s">
        <v>349</v>
      </c>
      <c r="AB36" s="164">
        <f>AB10+AB13+AB17+AB21+AB25+AB29+AB34</f>
        <v>0</v>
      </c>
      <c r="AC36" s="39" t="s">
        <v>349</v>
      </c>
      <c r="AD36" s="39" t="s">
        <v>349</v>
      </c>
      <c r="AE36" s="164">
        <f>AE10+AE13+AE17+AE21+AE25+AE29+AE34</f>
        <v>0</v>
      </c>
    </row>
    <row r="37" spans="1:31" ht="13.5" thickBot="1">
      <c r="A37" s="1546"/>
      <c r="B37" s="1551"/>
      <c r="C37" s="1552"/>
      <c r="D37" s="83" t="s">
        <v>393</v>
      </c>
      <c r="E37" s="84" t="s">
        <v>349</v>
      </c>
      <c r="F37" s="84" t="s">
        <v>349</v>
      </c>
      <c r="G37" s="162">
        <f>SUM(G8:G34)-G35-G36</f>
        <v>537</v>
      </c>
      <c r="H37" s="84" t="s">
        <v>349</v>
      </c>
      <c r="I37" s="84" t="s">
        <v>349</v>
      </c>
      <c r="J37" s="162">
        <f>SUM(J8:J34)-J35-J36</f>
        <v>542</v>
      </c>
      <c r="K37" s="84" t="s">
        <v>349</v>
      </c>
      <c r="L37" s="84" t="s">
        <v>349</v>
      </c>
      <c r="M37" s="162">
        <f>SUM(M8:M34)-M35-M36</f>
        <v>373.1</v>
      </c>
      <c r="N37" s="84" t="s">
        <v>349</v>
      </c>
      <c r="O37" s="84" t="s">
        <v>349</v>
      </c>
      <c r="P37" s="162">
        <f>SUM(P8:P34)-P35-P36</f>
        <v>606.9</v>
      </c>
      <c r="Q37" s="84" t="s">
        <v>349</v>
      </c>
      <c r="R37" s="84" t="s">
        <v>349</v>
      </c>
      <c r="S37" s="162">
        <f>SUM(S8:S34)-S35-S36</f>
        <v>539.5</v>
      </c>
      <c r="T37" s="84" t="s">
        <v>349</v>
      </c>
      <c r="U37" s="84" t="s">
        <v>349</v>
      </c>
      <c r="V37" s="162">
        <f>SUM(V8:V34)-V35-V36</f>
        <v>542</v>
      </c>
      <c r="W37" s="84" t="s">
        <v>349</v>
      </c>
      <c r="X37" s="84" t="s">
        <v>349</v>
      </c>
      <c r="Y37" s="162">
        <f>SUM(Y8:Y34)-Y35-Y36</f>
        <v>542</v>
      </c>
      <c r="Z37" s="84" t="s">
        <v>349</v>
      </c>
      <c r="AA37" s="84" t="s">
        <v>349</v>
      </c>
      <c r="AB37" s="162">
        <f>SUM(AB8:AB34)-AB35-AB36</f>
        <v>542</v>
      </c>
      <c r="AC37" s="84" t="s">
        <v>349</v>
      </c>
      <c r="AD37" s="84" t="s">
        <v>349</v>
      </c>
      <c r="AE37" s="162">
        <f>SUM(AE8:AE34)-AE35-AE36</f>
        <v>542</v>
      </c>
    </row>
    <row r="38" spans="1:31">
      <c r="A38" s="56" t="s">
        <v>395</v>
      </c>
      <c r="F38" s="31">
        <f>F31+F32+F33</f>
        <v>79</v>
      </c>
      <c r="O38" s="31">
        <f>O31+O32+O33</f>
        <v>80</v>
      </c>
      <c r="R38" s="31">
        <f>R31+R32+R33</f>
        <v>80</v>
      </c>
      <c r="AE38" s="1276">
        <v>4</v>
      </c>
    </row>
    <row r="39" spans="1:31" ht="30.75" customHeight="1">
      <c r="A39" s="1543" t="s">
        <v>394</v>
      </c>
      <c r="B39" s="1544"/>
      <c r="C39" s="1544"/>
      <c r="D39" s="1544"/>
      <c r="E39" s="1544"/>
      <c r="F39" s="1544"/>
      <c r="G39" s="1544"/>
      <c r="H39" s="1402"/>
      <c r="I39" s="1402"/>
      <c r="J39" s="1402"/>
    </row>
    <row r="40" spans="1:31" ht="30" customHeight="1">
      <c r="A40" s="1542" t="s">
        <v>396</v>
      </c>
      <c r="B40" s="1520"/>
      <c r="C40" s="1520"/>
      <c r="D40" s="1520"/>
      <c r="E40" s="1520"/>
      <c r="F40" s="1520"/>
      <c r="G40" s="1520"/>
      <c r="H40" s="1392"/>
      <c r="I40" s="1392"/>
      <c r="J40" s="1392"/>
    </row>
    <row r="41" spans="1:31" ht="50.25" customHeight="1">
      <c r="A41" s="1520" t="s">
        <v>397</v>
      </c>
      <c r="B41" s="1520"/>
      <c r="C41" s="1520"/>
      <c r="D41" s="1520"/>
      <c r="E41" s="1520"/>
      <c r="F41" s="1520"/>
      <c r="G41" s="1520"/>
      <c r="H41" s="1392"/>
      <c r="I41" s="1392"/>
      <c r="J41" s="1392"/>
    </row>
    <row r="42" spans="1:31" ht="36" customHeight="1">
      <c r="A42" s="1520" t="s">
        <v>383</v>
      </c>
      <c r="B42" s="1520"/>
      <c r="C42" s="1520"/>
      <c r="D42" s="1520"/>
      <c r="E42" s="1520"/>
      <c r="F42" s="1520"/>
      <c r="G42" s="1520"/>
      <c r="H42" s="1392"/>
      <c r="I42" s="1392"/>
      <c r="J42" s="1392"/>
    </row>
    <row r="43" spans="1:31" ht="26.25" customHeight="1"/>
  </sheetData>
  <mergeCells count="29">
    <mergeCell ref="A42:G42"/>
    <mergeCell ref="B23:B25"/>
    <mergeCell ref="C23:C25"/>
    <mergeCell ref="A40:G40"/>
    <mergeCell ref="A39:G39"/>
    <mergeCell ref="A29:A30"/>
    <mergeCell ref="A41:G41"/>
    <mergeCell ref="A35:A37"/>
    <mergeCell ref="B29:B30"/>
    <mergeCell ref="A23:A25"/>
    <mergeCell ref="B35:C37"/>
    <mergeCell ref="C29:C30"/>
    <mergeCell ref="A3:G3"/>
    <mergeCell ref="A5:A6"/>
    <mergeCell ref="B5:B6"/>
    <mergeCell ref="C5:C6"/>
    <mergeCell ref="D5:D6"/>
    <mergeCell ref="C19:C22"/>
    <mergeCell ref="A11:A14"/>
    <mergeCell ref="C11:C14"/>
    <mergeCell ref="C8:C10"/>
    <mergeCell ref="B8:B10"/>
    <mergeCell ref="A8:A10"/>
    <mergeCell ref="C15:C18"/>
    <mergeCell ref="B11:B14"/>
    <mergeCell ref="A15:A18"/>
    <mergeCell ref="B15:B18"/>
    <mergeCell ref="B19:B22"/>
    <mergeCell ref="A19:A22"/>
  </mergeCells>
  <phoneticPr fontId="16" type="noConversion"/>
  <printOptions horizontalCentered="1"/>
  <pageMargins left="0.39370078740157483" right="0.27559055118110237" top="0.39370078740157483" bottom="0" header="0" footer="0"/>
  <pageSetup paperSize="9" scale="38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3">
    <tabColor indexed="26"/>
    <pageSetUpPr fitToPage="1"/>
  </sheetPr>
  <dimension ref="A1:BM107"/>
  <sheetViews>
    <sheetView view="pageBreakPreview" zoomScale="60" workbookViewId="0">
      <selection activeCell="W106" sqref="W105:W106"/>
    </sheetView>
  </sheetViews>
  <sheetFormatPr defaultColWidth="8" defaultRowHeight="12.75"/>
  <cols>
    <col min="1" max="1" width="5.5703125" style="88" customWidth="1"/>
    <col min="2" max="2" width="41.5703125" style="96" customWidth="1"/>
    <col min="3" max="3" width="9.42578125" style="88" customWidth="1"/>
    <col min="4" max="4" width="8.28515625" style="88" customWidth="1"/>
    <col min="5" max="5" width="8.7109375" style="88" customWidth="1"/>
    <col min="6" max="6" width="9" style="88" customWidth="1"/>
    <col min="7" max="7" width="8.42578125" style="88" customWidth="1"/>
    <col min="8" max="8" width="9.28515625" style="88" customWidth="1"/>
    <col min="9" max="9" width="9.42578125" style="88" customWidth="1"/>
    <col min="10" max="10" width="8.85546875" style="88" customWidth="1"/>
    <col min="11" max="11" width="10.42578125" style="88" customWidth="1"/>
    <col min="12" max="13" width="8.85546875" style="88" customWidth="1"/>
    <col min="14" max="15" width="8.140625" style="88" bestFit="1" customWidth="1"/>
    <col min="16" max="16" width="8.42578125" style="88" customWidth="1"/>
    <col min="17" max="17" width="8.7109375" style="88" bestFit="1" customWidth="1"/>
    <col min="18" max="16384" width="8" style="88"/>
  </cols>
  <sheetData>
    <row r="1" spans="1:17">
      <c r="A1" s="86"/>
      <c r="B1" s="87"/>
      <c r="C1" s="86"/>
      <c r="D1" s="86"/>
      <c r="E1" s="86"/>
      <c r="F1" s="86"/>
      <c r="G1" s="86"/>
      <c r="I1" s="89"/>
      <c r="J1" s="89"/>
    </row>
    <row r="2" spans="1:17">
      <c r="A2" s="86"/>
      <c r="B2" s="87"/>
      <c r="C2" s="86"/>
      <c r="D2" s="86"/>
      <c r="E2" s="86"/>
      <c r="F2" s="86"/>
      <c r="G2" s="86"/>
      <c r="H2" s="90"/>
      <c r="I2" s="89"/>
      <c r="J2" s="89"/>
      <c r="K2" s="89"/>
    </row>
    <row r="3" spans="1:17" ht="16.5" customHeight="1">
      <c r="A3" s="188"/>
      <c r="B3" s="189" t="s">
        <v>585</v>
      </c>
      <c r="C3" s="190"/>
      <c r="D3" s="190"/>
      <c r="E3" s="190"/>
      <c r="F3" s="190"/>
      <c r="G3" s="189"/>
      <c r="H3" s="190"/>
      <c r="I3" s="190"/>
      <c r="J3" s="190"/>
      <c r="K3" s="190"/>
      <c r="L3" s="190"/>
      <c r="M3" s="190"/>
      <c r="N3" s="190"/>
      <c r="O3" s="190"/>
      <c r="P3" s="190"/>
      <c r="Q3" s="90" t="s">
        <v>408</v>
      </c>
    </row>
    <row r="4" spans="1:17" ht="13.5" thickBot="1">
      <c r="A4" s="91" t="s">
        <v>293</v>
      </c>
      <c r="B4" s="92"/>
      <c r="C4" s="160" t="str">
        <f>IF(C12+C13-C17-C19=0,"","Не сходится поступление и отпуск")</f>
        <v/>
      </c>
      <c r="D4" s="91"/>
      <c r="E4" s="91"/>
      <c r="F4" s="91"/>
      <c r="G4" s="91"/>
      <c r="H4" s="160" t="str">
        <f>IF(H12+H13-H17-H19=0,"","Не сходится поступление и отпуск")</f>
        <v/>
      </c>
      <c r="I4" s="89"/>
      <c r="J4" s="89"/>
      <c r="M4" s="160" t="str">
        <f>IF(ROUND(M12+M13-M17-M19,2)=0,"","Не сходится поступление и отпуск")</f>
        <v/>
      </c>
      <c r="Q4" s="93" t="s">
        <v>415</v>
      </c>
    </row>
    <row r="5" spans="1:17" ht="12.75" customHeight="1">
      <c r="A5" s="1555" t="s">
        <v>294</v>
      </c>
      <c r="B5" s="1560" t="s">
        <v>266</v>
      </c>
      <c r="C5" s="1557" t="s">
        <v>910</v>
      </c>
      <c r="D5" s="1558"/>
      <c r="E5" s="1558"/>
      <c r="F5" s="1558"/>
      <c r="G5" s="1559"/>
      <c r="H5" s="1557" t="s">
        <v>912</v>
      </c>
      <c r="I5" s="1558"/>
      <c r="J5" s="1558"/>
      <c r="K5" s="1558"/>
      <c r="L5" s="1559"/>
      <c r="M5" s="1557" t="s">
        <v>935</v>
      </c>
      <c r="N5" s="1558"/>
      <c r="O5" s="1558"/>
      <c r="P5" s="1558"/>
      <c r="Q5" s="1559"/>
    </row>
    <row r="6" spans="1:17" ht="13.5" thickBot="1">
      <c r="A6" s="1556"/>
      <c r="B6" s="1561"/>
      <c r="C6" s="136" t="s">
        <v>398</v>
      </c>
      <c r="D6" s="137" t="s">
        <v>382</v>
      </c>
      <c r="E6" s="137" t="s">
        <v>392</v>
      </c>
      <c r="F6" s="137" t="s">
        <v>393</v>
      </c>
      <c r="G6" s="138" t="s">
        <v>399</v>
      </c>
      <c r="H6" s="136" t="s">
        <v>398</v>
      </c>
      <c r="I6" s="137" t="s">
        <v>382</v>
      </c>
      <c r="J6" s="137" t="s">
        <v>392</v>
      </c>
      <c r="K6" s="137" t="s">
        <v>393</v>
      </c>
      <c r="L6" s="138" t="s">
        <v>399</v>
      </c>
      <c r="M6" s="136" t="s">
        <v>398</v>
      </c>
      <c r="N6" s="137" t="s">
        <v>382</v>
      </c>
      <c r="O6" s="137" t="s">
        <v>392</v>
      </c>
      <c r="P6" s="137" t="s">
        <v>393</v>
      </c>
      <c r="Q6" s="138" t="s">
        <v>399</v>
      </c>
    </row>
    <row r="7" spans="1:17" ht="15.75" thickBot="1">
      <c r="A7" s="144" t="s">
        <v>247</v>
      </c>
      <c r="B7" s="145" t="s">
        <v>400</v>
      </c>
      <c r="C7" s="146"/>
      <c r="D7" s="154">
        <f>D19+D17+E9+F9+G9</f>
        <v>0</v>
      </c>
      <c r="E7" s="154">
        <f>E19+E17+F10+G10</f>
        <v>0</v>
      </c>
      <c r="F7" s="154">
        <f>F19+F17+G11</f>
        <v>28700.999999999996</v>
      </c>
      <c r="G7" s="147">
        <f>G19+G17</f>
        <v>17803.029499999997</v>
      </c>
      <c r="H7" s="146"/>
      <c r="I7" s="154">
        <f>I19+I17+J9+K9+L9</f>
        <v>0</v>
      </c>
      <c r="J7" s="154">
        <f>J19+J17+K10+L10</f>
        <v>0</v>
      </c>
      <c r="K7" s="154">
        <f>K19+K17+L11</f>
        <v>27162</v>
      </c>
      <c r="L7" s="147">
        <f>L19+L17</f>
        <v>17718.317954615828</v>
      </c>
      <c r="M7" s="146"/>
      <c r="N7" s="154">
        <f>N19+N17+O9+P9+Q9</f>
        <v>3.563981044862885E-3</v>
      </c>
      <c r="O7" s="154">
        <f>O19+O17+P10+Q10</f>
        <v>3.563981044862885E-3</v>
      </c>
      <c r="P7" s="154">
        <f>P19+P17+Q11</f>
        <v>28707.003563981045</v>
      </c>
      <c r="Q7" s="596">
        <f>Q19+Q17</f>
        <v>17809.476613904553</v>
      </c>
    </row>
    <row r="8" spans="1:17" ht="26.25">
      <c r="A8" s="139" t="s">
        <v>401</v>
      </c>
      <c r="B8" s="140" t="s">
        <v>409</v>
      </c>
      <c r="C8" s="141"/>
      <c r="D8" s="155" t="s">
        <v>246</v>
      </c>
      <c r="E8" s="156">
        <f>E7-E12-E13</f>
        <v>0</v>
      </c>
      <c r="F8" s="156">
        <f>F7-F12-F13</f>
        <v>0</v>
      </c>
      <c r="G8" s="142">
        <f>G7-G12-G13</f>
        <v>17803.029499999997</v>
      </c>
      <c r="H8" s="141"/>
      <c r="I8" s="155" t="s">
        <v>246</v>
      </c>
      <c r="J8" s="156">
        <f>J7-J12-J13</f>
        <v>0</v>
      </c>
      <c r="K8" s="156">
        <f>K7-K12-K13</f>
        <v>0</v>
      </c>
      <c r="L8" s="142">
        <f>L7-L12-L13</f>
        <v>17718.317954615828</v>
      </c>
      <c r="M8" s="141"/>
      <c r="N8" s="155" t="s">
        <v>246</v>
      </c>
      <c r="O8" s="156">
        <f>O7-O12-O13</f>
        <v>3.563981044862885E-3</v>
      </c>
      <c r="P8" s="156">
        <f>P7-P12-P13</f>
        <v>3.563981044862885E-3</v>
      </c>
      <c r="Q8" s="142">
        <f>Q7-Q12-Q13</f>
        <v>17809.476613904553</v>
      </c>
    </row>
    <row r="9" spans="1:17" ht="15">
      <c r="A9" s="97"/>
      <c r="B9" s="102" t="s">
        <v>382</v>
      </c>
      <c r="C9" s="100"/>
      <c r="D9" s="157" t="s">
        <v>246</v>
      </c>
      <c r="E9" s="158">
        <f>E8</f>
        <v>0</v>
      </c>
      <c r="F9" s="175"/>
      <c r="G9" s="176"/>
      <c r="H9" s="100"/>
      <c r="I9" s="157" t="s">
        <v>246</v>
      </c>
      <c r="J9" s="158">
        <f>J8</f>
        <v>0</v>
      </c>
      <c r="K9" s="175"/>
      <c r="L9" s="176"/>
      <c r="M9" s="100"/>
      <c r="N9" s="157" t="s">
        <v>246</v>
      </c>
      <c r="O9" s="158">
        <f>O8</f>
        <v>3.563981044862885E-3</v>
      </c>
      <c r="P9" s="175"/>
      <c r="Q9" s="176"/>
    </row>
    <row r="10" spans="1:17" ht="15">
      <c r="A10" s="97"/>
      <c r="B10" s="102" t="s">
        <v>392</v>
      </c>
      <c r="C10" s="100"/>
      <c r="D10" s="157" t="s">
        <v>246</v>
      </c>
      <c r="E10" s="157" t="s">
        <v>246</v>
      </c>
      <c r="F10" s="158">
        <f>F8-F9</f>
        <v>0</v>
      </c>
      <c r="G10" s="176"/>
      <c r="H10" s="100"/>
      <c r="I10" s="157" t="s">
        <v>246</v>
      </c>
      <c r="J10" s="157" t="s">
        <v>246</v>
      </c>
      <c r="K10" s="158">
        <f>K8-K9</f>
        <v>0</v>
      </c>
      <c r="L10" s="176"/>
      <c r="M10" s="100"/>
      <c r="N10" s="157" t="s">
        <v>246</v>
      </c>
      <c r="O10" s="157" t="s">
        <v>246</v>
      </c>
      <c r="P10" s="158">
        <f>P8-P9</f>
        <v>3.563981044862885E-3</v>
      </c>
      <c r="Q10" s="176"/>
    </row>
    <row r="11" spans="1:17" ht="15.75" thickBot="1">
      <c r="A11" s="143"/>
      <c r="B11" s="104" t="s">
        <v>393</v>
      </c>
      <c r="C11" s="101"/>
      <c r="D11" s="159" t="s">
        <v>246</v>
      </c>
      <c r="E11" s="159" t="s">
        <v>246</v>
      </c>
      <c r="F11" s="159" t="s">
        <v>246</v>
      </c>
      <c r="G11" s="99">
        <f>G8-G9-G10</f>
        <v>17803.029499999997</v>
      </c>
      <c r="H11" s="101"/>
      <c r="I11" s="159" t="s">
        <v>246</v>
      </c>
      <c r="J11" s="159" t="s">
        <v>246</v>
      </c>
      <c r="K11" s="159" t="s">
        <v>246</v>
      </c>
      <c r="L11" s="99">
        <f>L8-L9-L10</f>
        <v>17718.317954615828</v>
      </c>
      <c r="M11" s="101"/>
      <c r="N11" s="159" t="s">
        <v>246</v>
      </c>
      <c r="O11" s="159" t="s">
        <v>246</v>
      </c>
      <c r="P11" s="159" t="s">
        <v>246</v>
      </c>
      <c r="Q11" s="99">
        <f>Q8-Q9-Q10</f>
        <v>17809.476613904553</v>
      </c>
    </row>
    <row r="12" spans="1:17" ht="15">
      <c r="A12" s="139" t="s">
        <v>402</v>
      </c>
      <c r="B12" s="140" t="s">
        <v>410</v>
      </c>
      <c r="C12" s="148">
        <f t="shared" ref="C12:C17" si="0">D12+E12+F12+G12</f>
        <v>0</v>
      </c>
      <c r="D12" s="179"/>
      <c r="E12" s="179"/>
      <c r="F12" s="179"/>
      <c r="G12" s="180"/>
      <c r="H12" s="148">
        <f t="shared" ref="H12:H17" si="1">I12+J12+K12+L12</f>
        <v>0</v>
      </c>
      <c r="I12" s="179"/>
      <c r="J12" s="179"/>
      <c r="K12" s="179"/>
      <c r="L12" s="180"/>
      <c r="M12" s="148">
        <f t="shared" ref="M12:M17" si="2">N12+O12+P12+Q12</f>
        <v>0</v>
      </c>
      <c r="N12" s="179"/>
      <c r="O12" s="179"/>
      <c r="P12" s="179"/>
      <c r="Q12" s="180"/>
    </row>
    <row r="13" spans="1:17" ht="15">
      <c r="A13" s="97" t="s">
        <v>403</v>
      </c>
      <c r="B13" s="102" t="s">
        <v>487</v>
      </c>
      <c r="C13" s="149">
        <f t="shared" si="0"/>
        <v>28701</v>
      </c>
      <c r="D13" s="593">
        <f>D14+D15+D16</f>
        <v>0</v>
      </c>
      <c r="E13" s="593">
        <f>E14+E15+E16</f>
        <v>0</v>
      </c>
      <c r="F13" s="593">
        <f>F14+F15+F16</f>
        <v>28701</v>
      </c>
      <c r="G13" s="594">
        <f>G14+G15+G16</f>
        <v>0</v>
      </c>
      <c r="H13" s="149">
        <f t="shared" si="1"/>
        <v>27162</v>
      </c>
      <c r="I13" s="593">
        <f>I14+I15+I16</f>
        <v>0</v>
      </c>
      <c r="J13" s="593">
        <f>J14+J15+J16</f>
        <v>0</v>
      </c>
      <c r="K13" s="593">
        <f>K14+K15+K16</f>
        <v>27162</v>
      </c>
      <c r="L13" s="594">
        <f>L14+L15+L16</f>
        <v>0</v>
      </c>
      <c r="M13" s="149">
        <f t="shared" si="2"/>
        <v>28707</v>
      </c>
      <c r="N13" s="593">
        <f>N14+N15+N16</f>
        <v>0</v>
      </c>
      <c r="O13" s="593">
        <f>O14+O15+O16</f>
        <v>0</v>
      </c>
      <c r="P13" s="593">
        <f>P14+P15+P16</f>
        <v>28707</v>
      </c>
      <c r="Q13" s="594">
        <f>Q14+Q15+Q16</f>
        <v>0</v>
      </c>
    </row>
    <row r="14" spans="1:17" ht="19.5" customHeight="1">
      <c r="A14" s="97" t="s">
        <v>446</v>
      </c>
      <c r="B14" s="177" t="s">
        <v>489</v>
      </c>
      <c r="C14" s="149">
        <f t="shared" si="0"/>
        <v>0</v>
      </c>
      <c r="D14" s="587"/>
      <c r="E14" s="587"/>
      <c r="F14" s="587"/>
      <c r="G14" s="588"/>
      <c r="H14" s="149">
        <f t="shared" si="1"/>
        <v>0</v>
      </c>
      <c r="I14" s="587"/>
      <c r="J14" s="587"/>
      <c r="K14" s="587"/>
      <c r="L14" s="588"/>
      <c r="M14" s="149">
        <f t="shared" si="2"/>
        <v>0</v>
      </c>
      <c r="N14" s="587"/>
      <c r="O14" s="587"/>
      <c r="P14" s="587"/>
      <c r="Q14" s="588"/>
    </row>
    <row r="15" spans="1:17" ht="24.75" customHeight="1">
      <c r="A15" s="97" t="s">
        <v>447</v>
      </c>
      <c r="B15" s="177" t="s">
        <v>488</v>
      </c>
      <c r="C15" s="149">
        <f t="shared" si="0"/>
        <v>22928</v>
      </c>
      <c r="D15" s="587"/>
      <c r="E15" s="587"/>
      <c r="F15" s="648">
        <v>22928</v>
      </c>
      <c r="G15" s="639"/>
      <c r="H15" s="149">
        <f t="shared" si="1"/>
        <v>22548</v>
      </c>
      <c r="I15" s="587"/>
      <c r="J15" s="587"/>
      <c r="K15" s="648">
        <v>22548</v>
      </c>
      <c r="L15" s="639"/>
      <c r="M15" s="149">
        <f t="shared" si="2"/>
        <v>22933</v>
      </c>
      <c r="N15" s="587"/>
      <c r="O15" s="587"/>
      <c r="P15" s="648">
        <f>22.933*1000</f>
        <v>22933</v>
      </c>
      <c r="Q15" s="639"/>
    </row>
    <row r="16" spans="1:17" ht="15.75" thickBot="1">
      <c r="A16" s="143" t="s">
        <v>448</v>
      </c>
      <c r="B16" s="178" t="s">
        <v>490</v>
      </c>
      <c r="C16" s="150">
        <f t="shared" si="0"/>
        <v>5773.0000000000009</v>
      </c>
      <c r="D16" s="589"/>
      <c r="E16" s="589"/>
      <c r="F16" s="640">
        <v>5773.0000000000009</v>
      </c>
      <c r="G16" s="641"/>
      <c r="H16" s="150">
        <f t="shared" si="1"/>
        <v>4614</v>
      </c>
      <c r="I16" s="589"/>
      <c r="J16" s="589"/>
      <c r="K16" s="640">
        <v>4614</v>
      </c>
      <c r="L16" s="641"/>
      <c r="M16" s="150">
        <f t="shared" si="2"/>
        <v>5774</v>
      </c>
      <c r="N16" s="589"/>
      <c r="O16" s="589"/>
      <c r="P16" s="640">
        <v>5774</v>
      </c>
      <c r="Q16" s="641"/>
    </row>
    <row r="17" spans="1:17" ht="15">
      <c r="A17" s="139" t="s">
        <v>243</v>
      </c>
      <c r="B17" s="140" t="s">
        <v>404</v>
      </c>
      <c r="C17" s="148">
        <f t="shared" si="0"/>
        <v>6330.0039999999999</v>
      </c>
      <c r="D17" s="590"/>
      <c r="E17" s="590"/>
      <c r="F17" s="642">
        <v>2422.9704999999999</v>
      </c>
      <c r="G17" s="643">
        <v>3907.0335</v>
      </c>
      <c r="H17" s="148">
        <f t="shared" si="1"/>
        <v>4555</v>
      </c>
      <c r="I17" s="590"/>
      <c r="J17" s="590"/>
      <c r="K17" s="642">
        <v>1583.6820453841738</v>
      </c>
      <c r="L17" s="643">
        <v>2971.3179546158262</v>
      </c>
      <c r="M17" s="148">
        <f t="shared" si="2"/>
        <v>5640.003563981043</v>
      </c>
      <c r="N17" s="590"/>
      <c r="O17" s="590"/>
      <c r="P17" s="642">
        <v>2158.8552322274882</v>
      </c>
      <c r="Q17" s="643">
        <v>3481.1483317535544</v>
      </c>
    </row>
    <row r="18" spans="1:17" ht="15.75" thickBot="1">
      <c r="A18" s="143"/>
      <c r="B18" s="104" t="s">
        <v>411</v>
      </c>
      <c r="C18" s="152" t="str">
        <f>IF(C7=0,"",C17/C7)</f>
        <v/>
      </c>
      <c r="D18" s="151">
        <f>IF(D7=0,0,D17/D7)</f>
        <v>0</v>
      </c>
      <c r="E18" s="151">
        <f>IF(E7=0,0,E17/E7)</f>
        <v>0</v>
      </c>
      <c r="F18" s="151">
        <f>IF(F7=0,0,F17/F7)</f>
        <v>8.4421117731089512E-2</v>
      </c>
      <c r="G18" s="153">
        <f>IF(G7=0,0,G17/G7)</f>
        <v>0.21945891287772121</v>
      </c>
      <c r="H18" s="152" t="str">
        <f>IF(H7=0,"",H17/H7)</f>
        <v/>
      </c>
      <c r="I18" s="151">
        <f>IF(I7=0,0,I17/I7)</f>
        <v>0</v>
      </c>
      <c r="J18" s="151">
        <f>IF(J7=0,0,J17/J7)</f>
        <v>0</v>
      </c>
      <c r="K18" s="151">
        <f>IF(K7=0,0,K17/K7)</f>
        <v>5.8305060208533016E-2</v>
      </c>
      <c r="L18" s="153">
        <f>IF(L7=0,0,L17/L7)</f>
        <v>0.16769751859215073</v>
      </c>
      <c r="M18" s="152" t="str">
        <f>IF(M7=0,"",M17/M7)</f>
        <v/>
      </c>
      <c r="N18" s="151">
        <f>IF(N7=0,0,N17/N7)</f>
        <v>0</v>
      </c>
      <c r="O18" s="151">
        <f>IF(O7=0,0,O17/O7)</f>
        <v>0</v>
      </c>
      <c r="P18" s="151">
        <f>IF(P7=0,0,P17/P7)</f>
        <v>7.5203085108340062E-2</v>
      </c>
      <c r="Q18" s="199">
        <f>IF(Q7=0,0,Q17/Q7)</f>
        <v>0.19546606602889643</v>
      </c>
    </row>
    <row r="19" spans="1:17" ht="15">
      <c r="A19" s="139" t="s">
        <v>248</v>
      </c>
      <c r="B19" s="140" t="s">
        <v>405</v>
      </c>
      <c r="C19" s="148">
        <f t="shared" ref="C19:C32" si="3">D19+E19+F19+G19</f>
        <v>22370.995999999999</v>
      </c>
      <c r="D19" s="591">
        <f>D20+D24+D28+D29</f>
        <v>0</v>
      </c>
      <c r="E19" s="591">
        <f>E20+E24+E28+E29</f>
        <v>0</v>
      </c>
      <c r="F19" s="591">
        <f>F20+F24+F28+F29</f>
        <v>8475</v>
      </c>
      <c r="G19" s="592">
        <f>G20+G24+G28+G29</f>
        <v>13895.995999999997</v>
      </c>
      <c r="H19" s="148">
        <f t="shared" ref="H19:H32" si="4">I19+J19+K19+L19</f>
        <v>22607</v>
      </c>
      <c r="I19" s="591">
        <f>I20+I24+I28+I29</f>
        <v>0</v>
      </c>
      <c r="J19" s="591">
        <f>J20+J24+J28+J29</f>
        <v>0</v>
      </c>
      <c r="K19" s="591">
        <f>K20+K24+K28+K29</f>
        <v>7860</v>
      </c>
      <c r="L19" s="592">
        <f>L20+L24+L28+L29</f>
        <v>14747</v>
      </c>
      <c r="M19" s="148">
        <f t="shared" ref="M19:M32" si="5">N19+O19+P19+Q19</f>
        <v>23067</v>
      </c>
      <c r="N19" s="591">
        <f>N20+N24+N28+N29</f>
        <v>0</v>
      </c>
      <c r="O19" s="591">
        <f>O20+O24+O28+O29</f>
        <v>0</v>
      </c>
      <c r="P19" s="591">
        <f>P20+P24+P28+P29</f>
        <v>8738.6717178490017</v>
      </c>
      <c r="Q19" s="592">
        <f>Q20+Q24+Q28+Q29</f>
        <v>14328.328282150998</v>
      </c>
    </row>
    <row r="20" spans="1:17" ht="39">
      <c r="A20" s="97" t="s">
        <v>412</v>
      </c>
      <c r="B20" s="102" t="s">
        <v>449</v>
      </c>
      <c r="C20" s="149">
        <f t="shared" si="3"/>
        <v>22370.995999999999</v>
      </c>
      <c r="D20" s="593">
        <f>D21+D22+D23</f>
        <v>0</v>
      </c>
      <c r="E20" s="593">
        <f>E21+E22+E23</f>
        <v>0</v>
      </c>
      <c r="F20" s="593">
        <f>F21+F22+F23</f>
        <v>8475</v>
      </c>
      <c r="G20" s="594">
        <f>G21+G22+G23</f>
        <v>13895.995999999997</v>
      </c>
      <c r="H20" s="149">
        <f t="shared" si="4"/>
        <v>22607</v>
      </c>
      <c r="I20" s="593">
        <f>I21+I22+I23</f>
        <v>0</v>
      </c>
      <c r="J20" s="593">
        <f>J21+J22+J23</f>
        <v>0</v>
      </c>
      <c r="K20" s="593">
        <f>K21+K22+K23</f>
        <v>7860</v>
      </c>
      <c r="L20" s="594">
        <f>L21+L22+L23</f>
        <v>14747</v>
      </c>
      <c r="M20" s="149">
        <f t="shared" si="5"/>
        <v>23067</v>
      </c>
      <c r="N20" s="593">
        <f>N21+N22+N23</f>
        <v>0</v>
      </c>
      <c r="O20" s="593">
        <f>O21+O22+O23</f>
        <v>0</v>
      </c>
      <c r="P20" s="593">
        <f>P21+P22+P23</f>
        <v>8738.6717178490017</v>
      </c>
      <c r="Q20" s="594">
        <f>Q21+Q22+Q23</f>
        <v>14328.328282150998</v>
      </c>
    </row>
    <row r="21" spans="1:17" ht="15">
      <c r="A21" s="134" t="s">
        <v>437</v>
      </c>
      <c r="B21" s="177" t="s">
        <v>4</v>
      </c>
      <c r="C21" s="149">
        <f t="shared" si="3"/>
        <v>22370.995999999999</v>
      </c>
      <c r="D21" s="587"/>
      <c r="E21" s="587"/>
      <c r="F21" s="648">
        <v>8475</v>
      </c>
      <c r="G21" s="639">
        <v>13895.995999999997</v>
      </c>
      <c r="H21" s="149">
        <f t="shared" si="4"/>
        <v>22607</v>
      </c>
      <c r="I21" s="587"/>
      <c r="J21" s="587"/>
      <c r="K21" s="648">
        <v>7860</v>
      </c>
      <c r="L21" s="639">
        <v>14747</v>
      </c>
      <c r="M21" s="149">
        <f t="shared" si="5"/>
        <v>23067</v>
      </c>
      <c r="N21" s="587"/>
      <c r="O21" s="587"/>
      <c r="P21" s="587">
        <v>8738.6717178490017</v>
      </c>
      <c r="Q21" s="588">
        <v>14328.328282150998</v>
      </c>
    </row>
    <row r="22" spans="1:17" ht="15">
      <c r="A22" s="134" t="s">
        <v>438</v>
      </c>
      <c r="B22" s="177" t="s">
        <v>491</v>
      </c>
      <c r="C22" s="149">
        <f t="shared" si="3"/>
        <v>0</v>
      </c>
      <c r="D22" s="587"/>
      <c r="E22" s="587"/>
      <c r="F22" s="587"/>
      <c r="G22" s="588"/>
      <c r="H22" s="149">
        <f t="shared" si="4"/>
        <v>0</v>
      </c>
      <c r="I22" s="587"/>
      <c r="J22" s="587"/>
      <c r="K22" s="587"/>
      <c r="L22" s="588"/>
      <c r="M22" s="149">
        <f t="shared" si="5"/>
        <v>0</v>
      </c>
      <c r="N22" s="587"/>
      <c r="O22" s="587"/>
      <c r="P22" s="587"/>
      <c r="Q22" s="588"/>
    </row>
    <row r="23" spans="1:17" ht="15">
      <c r="A23" s="134" t="s">
        <v>439</v>
      </c>
      <c r="B23" s="177" t="s">
        <v>498</v>
      </c>
      <c r="C23" s="149">
        <f t="shared" si="3"/>
        <v>0</v>
      </c>
      <c r="D23" s="587"/>
      <c r="E23" s="587"/>
      <c r="F23" s="587"/>
      <c r="G23" s="588"/>
      <c r="H23" s="149">
        <f t="shared" si="4"/>
        <v>0</v>
      </c>
      <c r="I23" s="587"/>
      <c r="J23" s="587"/>
      <c r="K23" s="587"/>
      <c r="L23" s="588"/>
      <c r="M23" s="149">
        <f t="shared" si="5"/>
        <v>0</v>
      </c>
      <c r="N23" s="587"/>
      <c r="O23" s="587"/>
      <c r="P23" s="587"/>
      <c r="Q23" s="588"/>
    </row>
    <row r="24" spans="1:17" ht="15">
      <c r="A24" s="97" t="s">
        <v>413</v>
      </c>
      <c r="B24" s="102" t="s">
        <v>450</v>
      </c>
      <c r="C24" s="149">
        <f t="shared" si="3"/>
        <v>0</v>
      </c>
      <c r="D24" s="94">
        <f>D25+D26+D27</f>
        <v>0</v>
      </c>
      <c r="E24" s="94">
        <f>E25+E26+E27</f>
        <v>0</v>
      </c>
      <c r="F24" s="94">
        <f>F25+F26+F27</f>
        <v>0</v>
      </c>
      <c r="G24" s="98">
        <f>G25+G26+G27</f>
        <v>0</v>
      </c>
      <c r="H24" s="149">
        <f t="shared" si="4"/>
        <v>0</v>
      </c>
      <c r="I24" s="94">
        <f>I25+I26+I27</f>
        <v>0</v>
      </c>
      <c r="J24" s="94">
        <f>J25+J26+J27</f>
        <v>0</v>
      </c>
      <c r="K24" s="94">
        <f>K25+K26+K27</f>
        <v>0</v>
      </c>
      <c r="L24" s="98">
        <f>L25+L26+L27</f>
        <v>0</v>
      </c>
      <c r="M24" s="149">
        <f t="shared" si="5"/>
        <v>0</v>
      </c>
      <c r="N24" s="94">
        <f>N25+N26+N27</f>
        <v>0</v>
      </c>
      <c r="O24" s="94">
        <f>O25+O26+O27</f>
        <v>0</v>
      </c>
      <c r="P24" s="94">
        <f>P25+P26+P27</f>
        <v>0</v>
      </c>
      <c r="Q24" s="98">
        <f>Q25+Q26+Q27</f>
        <v>0</v>
      </c>
    </row>
    <row r="25" spans="1:17" ht="15">
      <c r="A25" s="134" t="s">
        <v>440</v>
      </c>
      <c r="B25" s="184"/>
      <c r="C25" s="149">
        <f t="shared" si="3"/>
        <v>0</v>
      </c>
      <c r="D25" s="186"/>
      <c r="E25" s="186"/>
      <c r="F25" s="186"/>
      <c r="G25" s="187"/>
      <c r="H25" s="149">
        <f t="shared" si="4"/>
        <v>0</v>
      </c>
      <c r="I25" s="186"/>
      <c r="J25" s="186"/>
      <c r="K25" s="186"/>
      <c r="L25" s="187"/>
      <c r="M25" s="149">
        <f t="shared" si="5"/>
        <v>0</v>
      </c>
      <c r="N25" s="186"/>
      <c r="O25" s="186"/>
      <c r="P25" s="186"/>
      <c r="Q25" s="187"/>
    </row>
    <row r="26" spans="1:17" ht="15">
      <c r="A26" s="134" t="s">
        <v>441</v>
      </c>
      <c r="B26" s="184"/>
      <c r="C26" s="149">
        <f t="shared" si="3"/>
        <v>0</v>
      </c>
      <c r="D26" s="186"/>
      <c r="E26" s="186"/>
      <c r="F26" s="186"/>
      <c r="G26" s="187"/>
      <c r="H26" s="149">
        <f t="shared" si="4"/>
        <v>0</v>
      </c>
      <c r="I26" s="186"/>
      <c r="J26" s="186"/>
      <c r="K26" s="186"/>
      <c r="L26" s="187"/>
      <c r="M26" s="149">
        <f t="shared" si="5"/>
        <v>0</v>
      </c>
      <c r="N26" s="186"/>
      <c r="O26" s="186"/>
      <c r="P26" s="186"/>
      <c r="Q26" s="187"/>
    </row>
    <row r="27" spans="1:17" ht="15">
      <c r="A27" s="134" t="s">
        <v>442</v>
      </c>
      <c r="B27" s="184"/>
      <c r="C27" s="149">
        <f t="shared" si="3"/>
        <v>0</v>
      </c>
      <c r="D27" s="186"/>
      <c r="E27" s="186"/>
      <c r="F27" s="186"/>
      <c r="G27" s="187"/>
      <c r="H27" s="149">
        <f t="shared" si="4"/>
        <v>0</v>
      </c>
      <c r="I27" s="186"/>
      <c r="J27" s="186"/>
      <c r="K27" s="186"/>
      <c r="L27" s="187"/>
      <c r="M27" s="149">
        <f t="shared" si="5"/>
        <v>0</v>
      </c>
      <c r="N27" s="186"/>
      <c r="O27" s="186"/>
      <c r="P27" s="186"/>
      <c r="Q27" s="187"/>
    </row>
    <row r="28" spans="1:17" ht="26.25">
      <c r="A28" s="97" t="s">
        <v>414</v>
      </c>
      <c r="B28" s="103" t="s">
        <v>436</v>
      </c>
      <c r="C28" s="149">
        <f t="shared" si="3"/>
        <v>0</v>
      </c>
      <c r="D28" s="181"/>
      <c r="E28" s="181"/>
      <c r="F28" s="181"/>
      <c r="G28" s="176"/>
      <c r="H28" s="149">
        <f t="shared" si="4"/>
        <v>0</v>
      </c>
      <c r="I28" s="181"/>
      <c r="J28" s="181"/>
      <c r="K28" s="181"/>
      <c r="L28" s="176"/>
      <c r="M28" s="149">
        <f t="shared" si="5"/>
        <v>0</v>
      </c>
      <c r="N28" s="181"/>
      <c r="O28" s="181"/>
      <c r="P28" s="181">
        <v>0</v>
      </c>
      <c r="Q28" s="176"/>
    </row>
    <row r="29" spans="1:17" ht="26.25">
      <c r="A29" s="97" t="s">
        <v>435</v>
      </c>
      <c r="B29" s="102" t="s">
        <v>451</v>
      </c>
      <c r="C29" s="149">
        <f t="shared" si="3"/>
        <v>0</v>
      </c>
      <c r="D29" s="94">
        <f>D30+D31+D32</f>
        <v>0</v>
      </c>
      <c r="E29" s="94">
        <f>E30+E31+E32</f>
        <v>0</v>
      </c>
      <c r="F29" s="94">
        <f>F30+F31+F32</f>
        <v>0</v>
      </c>
      <c r="G29" s="98">
        <f>G30+G31+G32</f>
        <v>0</v>
      </c>
      <c r="H29" s="149">
        <f t="shared" si="4"/>
        <v>0</v>
      </c>
      <c r="I29" s="94">
        <f>I30+I31+I32</f>
        <v>0</v>
      </c>
      <c r="J29" s="94">
        <f>J30+J31+J32</f>
        <v>0</v>
      </c>
      <c r="K29" s="94">
        <f>K30+K31+K32</f>
        <v>0</v>
      </c>
      <c r="L29" s="98">
        <f>L30+L31+L32</f>
        <v>0</v>
      </c>
      <c r="M29" s="149">
        <f t="shared" si="5"/>
        <v>0</v>
      </c>
      <c r="N29" s="94">
        <f>N30+N31+N32</f>
        <v>0</v>
      </c>
      <c r="O29" s="94">
        <f>O30+O31+O32</f>
        <v>0</v>
      </c>
      <c r="P29" s="94">
        <f>P30+P31+P32</f>
        <v>0</v>
      </c>
      <c r="Q29" s="98">
        <f>Q30+Q31+Q32</f>
        <v>0</v>
      </c>
    </row>
    <row r="30" spans="1:17" ht="15">
      <c r="A30" s="134" t="s">
        <v>443</v>
      </c>
      <c r="B30" s="185"/>
      <c r="C30" s="149">
        <f t="shared" si="3"/>
        <v>0</v>
      </c>
      <c r="D30" s="186"/>
      <c r="E30" s="186"/>
      <c r="F30" s="186"/>
      <c r="G30" s="187"/>
      <c r="H30" s="149">
        <f t="shared" si="4"/>
        <v>0</v>
      </c>
      <c r="I30" s="186"/>
      <c r="J30" s="186"/>
      <c r="K30" s="186"/>
      <c r="L30" s="187"/>
      <c r="M30" s="149">
        <f t="shared" si="5"/>
        <v>0</v>
      </c>
      <c r="N30" s="186"/>
      <c r="O30" s="186"/>
      <c r="P30" s="186"/>
      <c r="Q30" s="187"/>
    </row>
    <row r="31" spans="1:17" ht="15">
      <c r="A31" s="134" t="s">
        <v>444</v>
      </c>
      <c r="B31" s="184"/>
      <c r="C31" s="149">
        <f t="shared" si="3"/>
        <v>0</v>
      </c>
      <c r="D31" s="186"/>
      <c r="E31" s="186"/>
      <c r="F31" s="186"/>
      <c r="G31" s="187"/>
      <c r="H31" s="149">
        <f t="shared" si="4"/>
        <v>0</v>
      </c>
      <c r="I31" s="186"/>
      <c r="J31" s="186"/>
      <c r="K31" s="186"/>
      <c r="L31" s="187"/>
      <c r="M31" s="149">
        <f t="shared" si="5"/>
        <v>0</v>
      </c>
      <c r="N31" s="186"/>
      <c r="O31" s="186"/>
      <c r="P31" s="186"/>
      <c r="Q31" s="187"/>
    </row>
    <row r="32" spans="1:17" ht="15.75" thickBot="1">
      <c r="A32" s="135" t="s">
        <v>445</v>
      </c>
      <c r="B32" s="178"/>
      <c r="C32" s="150">
        <f t="shared" si="3"/>
        <v>0</v>
      </c>
      <c r="D32" s="182"/>
      <c r="E32" s="182"/>
      <c r="F32" s="182"/>
      <c r="G32" s="183"/>
      <c r="H32" s="150">
        <f t="shared" si="4"/>
        <v>0</v>
      </c>
      <c r="I32" s="182"/>
      <c r="J32" s="182"/>
      <c r="K32" s="182"/>
      <c r="L32" s="183"/>
      <c r="M32" s="150">
        <f t="shared" si="5"/>
        <v>0</v>
      </c>
      <c r="N32" s="182"/>
      <c r="O32" s="182"/>
      <c r="P32" s="182"/>
      <c r="Q32" s="183"/>
    </row>
    <row r="33" spans="1:65" ht="13.5" hidden="1" thickBot="1">
      <c r="A33" s="86"/>
      <c r="B33" s="87"/>
      <c r="C33" s="86"/>
      <c r="D33" s="86"/>
      <c r="E33" s="86"/>
      <c r="F33" s="86"/>
      <c r="G33" s="86"/>
      <c r="H33" s="86"/>
      <c r="I33" s="89"/>
      <c r="J33" s="89"/>
      <c r="K33" s="89"/>
    </row>
    <row r="34" spans="1:65" ht="25.5">
      <c r="A34" s="200" t="s">
        <v>406</v>
      </c>
      <c r="B34" s="203" t="s">
        <v>11</v>
      </c>
      <c r="C34" s="655">
        <f>SUM(D34:G34)</f>
        <v>27059.468419820831</v>
      </c>
      <c r="D34" s="658">
        <f>D35+D36</f>
        <v>0</v>
      </c>
      <c r="E34" s="658">
        <f>E35+E36</f>
        <v>0</v>
      </c>
      <c r="F34" s="658">
        <f>F35+F36</f>
        <v>9256.4389198208337</v>
      </c>
      <c r="G34" s="659">
        <f>G35+G36</f>
        <v>17803.029499999997</v>
      </c>
      <c r="H34" s="655">
        <f>SUM(I34:L34)</f>
        <v>26064.97000495025</v>
      </c>
      <c r="I34" s="658">
        <f>I35+I36</f>
        <v>0</v>
      </c>
      <c r="J34" s="658">
        <f>J35+J36</f>
        <v>0</v>
      </c>
      <c r="K34" s="658">
        <f>K35+K36</f>
        <v>8346.6520503344236</v>
      </c>
      <c r="L34" s="659">
        <f>L35+L36</f>
        <v>17718.317954615828</v>
      </c>
      <c r="M34" s="655">
        <f>SUM(N34:Q34)</f>
        <v>27258.763886746223</v>
      </c>
      <c r="N34" s="658">
        <f>N35+N36</f>
        <v>0</v>
      </c>
      <c r="O34" s="658">
        <f>O35+O36</f>
        <v>0</v>
      </c>
      <c r="P34" s="658">
        <f>P35+P36</f>
        <v>9449.2872728416678</v>
      </c>
      <c r="Q34" s="659">
        <f>Q35+Q36</f>
        <v>17809.476613904553</v>
      </c>
      <c r="R34" s="379"/>
    </row>
    <row r="35" spans="1:65">
      <c r="A35" s="201" t="s">
        <v>407</v>
      </c>
      <c r="B35" s="204" t="s">
        <v>10</v>
      </c>
      <c r="C35" s="656">
        <f>SUM(D35:G35)</f>
        <v>4688.4724198208332</v>
      </c>
      <c r="D35" s="660">
        <f>IF((D7-D17)=0,0,D17/(D7-D17)*D36)</f>
        <v>0</v>
      </c>
      <c r="E35" s="660">
        <f>IF((E7-E17)=0,0,E17/(E7-E17)*E36)</f>
        <v>0</v>
      </c>
      <c r="F35" s="660">
        <f>IF((F7-F17)=0,0,F17/(F7-F17)*F36)</f>
        <v>781.43891982083369</v>
      </c>
      <c r="G35" s="661">
        <f>IF((G7-G17)=0,0,G17/(G7-G17)*G36)</f>
        <v>3907.0335</v>
      </c>
      <c r="H35" s="656">
        <f>SUM(I35:L35)</f>
        <v>3457.9700049502503</v>
      </c>
      <c r="I35" s="660">
        <f>IF((I7-I17)=0,0,I17/(I7-I17)*I36)</f>
        <v>0</v>
      </c>
      <c r="J35" s="660">
        <f>IF((J7-J17)=0,0,J17/(J7-J17)*J36)</f>
        <v>0</v>
      </c>
      <c r="K35" s="660">
        <f>IF((K7-K17)=0,0,K17/(K7-K17)*K36)</f>
        <v>486.65205033442413</v>
      </c>
      <c r="L35" s="661">
        <f>IF((L7-L17)=0,0,L17/(L7-L17)*L36)</f>
        <v>2971.3179546158262</v>
      </c>
      <c r="M35" s="656">
        <f>SUM(N35:Q35)</f>
        <v>4191.763886746221</v>
      </c>
      <c r="N35" s="660">
        <f>IF((N7-N17)=0,0,N17/(N7-N17)*N36)</f>
        <v>0</v>
      </c>
      <c r="O35" s="660">
        <f>IF((O7-O17)=0,0,O17/(O7-O17)*O36)</f>
        <v>0</v>
      </c>
      <c r="P35" s="660">
        <f>IF((P7-P17)=0,0,P17/(P7-P17)*P36)</f>
        <v>710.6155549926666</v>
      </c>
      <c r="Q35" s="661">
        <f>IF((Q7-Q17)=0,0,Q17/(Q7-Q17)*Q36)</f>
        <v>3481.1483317535544</v>
      </c>
    </row>
    <row r="36" spans="1:65" ht="13.5" thickBot="1">
      <c r="A36" s="202" t="s">
        <v>8</v>
      </c>
      <c r="B36" s="205" t="s">
        <v>9</v>
      </c>
      <c r="C36" s="657">
        <f>SUM(D36:G36)</f>
        <v>22370.995999999999</v>
      </c>
      <c r="D36" s="662">
        <f>D29+D24+D20</f>
        <v>0</v>
      </c>
      <c r="E36" s="662">
        <f>E29+E24+E20</f>
        <v>0</v>
      </c>
      <c r="F36" s="662">
        <f>F29+F24+F20</f>
        <v>8475</v>
      </c>
      <c r="G36" s="663">
        <f>G29+G24+G20</f>
        <v>13895.995999999997</v>
      </c>
      <c r="H36" s="657">
        <f>SUM(I36:L36)</f>
        <v>22607</v>
      </c>
      <c r="I36" s="662">
        <f>I29+I24+I20</f>
        <v>0</v>
      </c>
      <c r="J36" s="662">
        <f>J29+J24+J20</f>
        <v>0</v>
      </c>
      <c r="K36" s="662">
        <f>K29+K24+K20</f>
        <v>7860</v>
      </c>
      <c r="L36" s="663">
        <f>L29+L24+L20</f>
        <v>14747</v>
      </c>
      <c r="M36" s="657">
        <f>SUM(N36:Q36)</f>
        <v>23067</v>
      </c>
      <c r="N36" s="662">
        <f>N29+N24+N20</f>
        <v>0</v>
      </c>
      <c r="O36" s="662">
        <f>O29+O24+O20</f>
        <v>0</v>
      </c>
      <c r="P36" s="662">
        <f>P29+P24+P20</f>
        <v>8738.6717178490017</v>
      </c>
      <c r="Q36" s="663">
        <f>Q29+Q24+Q20</f>
        <v>14328.328282150998</v>
      </c>
    </row>
    <row r="37" spans="1:65" hidden="1">
      <c r="A37" s="89"/>
      <c r="B37" s="95"/>
      <c r="C37" s="89"/>
      <c r="D37" s="89"/>
      <c r="E37" s="89"/>
      <c r="F37" s="89"/>
      <c r="G37" s="89"/>
      <c r="H37" s="89"/>
      <c r="I37" s="89"/>
      <c r="J37" s="89"/>
      <c r="K37" s="89"/>
    </row>
    <row r="38" spans="1:65" hidden="1">
      <c r="A38" s="89"/>
      <c r="B38" s="95"/>
      <c r="C38" s="89"/>
      <c r="D38" s="89"/>
      <c r="E38" s="89"/>
      <c r="F38" s="89"/>
      <c r="G38" s="89"/>
      <c r="H38" s="89"/>
      <c r="I38" s="89"/>
      <c r="J38" s="89"/>
      <c r="K38" s="89"/>
    </row>
    <row r="39" spans="1:65" s="352" customFormat="1">
      <c r="A39" s="280"/>
      <c r="B39" s="351" t="s">
        <v>493</v>
      </c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80"/>
      <c r="AP39" s="280"/>
      <c r="AQ39" s="280"/>
      <c r="AR39" s="280"/>
      <c r="AS39" s="280"/>
      <c r="AT39" s="280"/>
      <c r="AU39" s="280"/>
      <c r="AV39" s="280"/>
      <c r="AW39" s="280"/>
      <c r="AX39" s="280"/>
      <c r="AY39" s="280"/>
      <c r="AZ39" s="280"/>
      <c r="BA39" s="280"/>
      <c r="BB39" s="280"/>
      <c r="BC39" s="280"/>
      <c r="BD39" s="280"/>
      <c r="BE39" s="280"/>
      <c r="BF39" s="280"/>
      <c r="BG39" s="280"/>
      <c r="BH39" s="280"/>
      <c r="BI39" s="280"/>
      <c r="BJ39" s="280"/>
      <c r="BK39" s="280"/>
      <c r="BL39" s="280"/>
      <c r="BM39" s="280"/>
    </row>
    <row r="40" spans="1:65" s="352" customFormat="1">
      <c r="A40" s="382" t="s">
        <v>265</v>
      </c>
      <c r="B40" s="383" t="s">
        <v>492</v>
      </c>
      <c r="C40" s="359" t="s">
        <v>398</v>
      </c>
      <c r="D40" s="359" t="s">
        <v>382</v>
      </c>
      <c r="E40" s="359" t="s">
        <v>392</v>
      </c>
      <c r="F40" s="359" t="s">
        <v>393</v>
      </c>
      <c r="G40" s="359" t="s">
        <v>399</v>
      </c>
      <c r="H40" s="359" t="s">
        <v>398</v>
      </c>
      <c r="I40" s="359" t="s">
        <v>382</v>
      </c>
      <c r="J40" s="359" t="s">
        <v>392</v>
      </c>
      <c r="K40" s="359" t="s">
        <v>393</v>
      </c>
      <c r="L40" s="359" t="s">
        <v>399</v>
      </c>
      <c r="M40" s="359" t="s">
        <v>398</v>
      </c>
      <c r="N40" s="359" t="s">
        <v>382</v>
      </c>
      <c r="O40" s="359" t="s">
        <v>392</v>
      </c>
      <c r="P40" s="359" t="s">
        <v>393</v>
      </c>
      <c r="Q40" s="359" t="s">
        <v>399</v>
      </c>
      <c r="R40" s="353"/>
      <c r="S40" s="353"/>
      <c r="T40" s="353"/>
      <c r="U40" s="353"/>
      <c r="V40" s="353"/>
      <c r="W40" s="353"/>
      <c r="X40" s="353"/>
      <c r="Y40" s="353"/>
      <c r="Z40" s="353"/>
      <c r="AA40" s="353"/>
      <c r="AB40" s="353"/>
      <c r="AC40" s="353"/>
      <c r="AD40" s="353"/>
      <c r="AE40" s="353"/>
      <c r="AF40" s="353"/>
      <c r="AG40" s="353"/>
      <c r="AH40" s="353"/>
      <c r="AI40" s="353"/>
      <c r="AJ40" s="353"/>
      <c r="AK40" s="353"/>
      <c r="AL40" s="353"/>
      <c r="AM40" s="353"/>
      <c r="AN40" s="353"/>
      <c r="AO40" s="353"/>
      <c r="AP40" s="353"/>
      <c r="AQ40" s="353"/>
      <c r="AR40" s="353"/>
      <c r="AS40" s="353"/>
      <c r="AT40" s="353"/>
      <c r="AU40" s="353"/>
      <c r="AV40" s="353"/>
      <c r="AW40" s="353"/>
      <c r="AX40" s="353"/>
      <c r="AY40" s="353"/>
      <c r="AZ40" s="353"/>
      <c r="BA40" s="353"/>
      <c r="BB40" s="353"/>
      <c r="BC40" s="353"/>
      <c r="BD40" s="353"/>
      <c r="BE40" s="353"/>
      <c r="BF40" s="353"/>
      <c r="BG40" s="353"/>
      <c r="BH40" s="353"/>
      <c r="BI40" s="353"/>
      <c r="BJ40" s="353"/>
      <c r="BK40" s="353"/>
      <c r="BL40" s="353"/>
      <c r="BM40" s="353"/>
    </row>
    <row r="41" spans="1:65" s="352" customFormat="1">
      <c r="A41" s="281"/>
      <c r="B41" s="281" t="s">
        <v>1106</v>
      </c>
      <c r="C41" s="880">
        <f>SUM(D41:G41)</f>
        <v>2122</v>
      </c>
      <c r="D41" s="881"/>
      <c r="E41" s="881">
        <v>2122</v>
      </c>
      <c r="F41" s="881"/>
      <c r="G41" s="881"/>
      <c r="H41" s="880">
        <f>SUM(I41:L41)</f>
        <v>2262</v>
      </c>
      <c r="I41" s="881"/>
      <c r="J41" s="881">
        <v>2262</v>
      </c>
      <c r="K41" s="881"/>
      <c r="L41" s="881"/>
      <c r="M41" s="880">
        <f>SUM(N41:Q41)</f>
        <v>2123</v>
      </c>
      <c r="N41" s="881"/>
      <c r="O41" s="881">
        <v>2123</v>
      </c>
      <c r="P41" s="881"/>
      <c r="Q41" s="881"/>
      <c r="R41" s="356"/>
      <c r="S41" s="356"/>
      <c r="T41" s="356"/>
      <c r="U41" s="356"/>
      <c r="V41" s="356"/>
      <c r="W41" s="356"/>
      <c r="X41" s="356"/>
      <c r="Y41" s="356"/>
      <c r="Z41" s="356"/>
      <c r="AA41" s="356"/>
      <c r="AB41" s="356"/>
      <c r="AC41" s="356"/>
      <c r="AD41" s="356"/>
      <c r="AE41" s="356"/>
      <c r="AF41" s="356"/>
      <c r="AG41" s="356"/>
      <c r="AH41" s="356"/>
      <c r="AI41" s="356"/>
      <c r="AJ41" s="356"/>
      <c r="AK41" s="356"/>
      <c r="AL41" s="356"/>
      <c r="AM41" s="356"/>
      <c r="AN41" s="356"/>
      <c r="AO41" s="356"/>
      <c r="AP41" s="356"/>
      <c r="AQ41" s="356"/>
      <c r="AR41" s="356"/>
      <c r="AS41" s="356"/>
      <c r="AT41" s="356"/>
      <c r="AU41" s="356"/>
      <c r="AV41" s="356"/>
      <c r="AW41" s="356"/>
      <c r="AX41" s="356"/>
      <c r="AY41" s="356"/>
      <c r="AZ41" s="356"/>
      <c r="BA41" s="356"/>
      <c r="BB41" s="356"/>
      <c r="BC41" s="356"/>
      <c r="BD41" s="356"/>
      <c r="BE41" s="356"/>
      <c r="BF41" s="356"/>
      <c r="BG41" s="356"/>
      <c r="BH41" s="356"/>
      <c r="BI41" s="356"/>
      <c r="BJ41" s="356"/>
      <c r="BK41" s="356"/>
      <c r="BL41" s="356"/>
      <c r="BM41" s="356"/>
    </row>
    <row r="42" spans="1:65" s="352" customFormat="1">
      <c r="A42" s="281"/>
      <c r="B42" s="281" t="s">
        <v>1107</v>
      </c>
      <c r="C42" s="880">
        <f>SUM(D42:G42)</f>
        <v>2637</v>
      </c>
      <c r="D42" s="881"/>
      <c r="E42" s="881"/>
      <c r="F42" s="881">
        <v>2637</v>
      </c>
      <c r="G42" s="881"/>
      <c r="H42" s="880">
        <f>SUM(I42:L42)</f>
        <v>1819</v>
      </c>
      <c r="I42" s="881"/>
      <c r="J42" s="881"/>
      <c r="K42" s="881">
        <v>1819</v>
      </c>
      <c r="L42" s="881"/>
      <c r="M42" s="880">
        <f>SUM(N42:Q42)</f>
        <v>2637</v>
      </c>
      <c r="N42" s="881"/>
      <c r="O42" s="881"/>
      <c r="P42" s="881">
        <v>2637</v>
      </c>
      <c r="Q42" s="881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6"/>
      <c r="AC42" s="356"/>
      <c r="AD42" s="356"/>
      <c r="AE42" s="356"/>
      <c r="AF42" s="356"/>
      <c r="AG42" s="356"/>
      <c r="AH42" s="356"/>
      <c r="AI42" s="356"/>
      <c r="AJ42" s="356"/>
      <c r="AK42" s="356"/>
      <c r="AL42" s="356"/>
      <c r="AM42" s="356"/>
      <c r="AN42" s="356"/>
      <c r="AO42" s="356"/>
      <c r="AP42" s="356"/>
      <c r="AQ42" s="356"/>
      <c r="AR42" s="356"/>
      <c r="AS42" s="356"/>
      <c r="AT42" s="356"/>
      <c r="AU42" s="356"/>
      <c r="AV42" s="356"/>
      <c r="AW42" s="356"/>
      <c r="AX42" s="356"/>
      <c r="AY42" s="356"/>
      <c r="AZ42" s="356"/>
      <c r="BA42" s="356"/>
      <c r="BB42" s="356"/>
      <c r="BC42" s="356"/>
      <c r="BD42" s="356"/>
      <c r="BE42" s="356"/>
      <c r="BF42" s="356"/>
      <c r="BG42" s="356"/>
      <c r="BH42" s="356"/>
      <c r="BI42" s="356"/>
      <c r="BJ42" s="356"/>
      <c r="BK42" s="356"/>
      <c r="BL42" s="356"/>
      <c r="BM42" s="356"/>
    </row>
    <row r="43" spans="1:65" s="352" customFormat="1">
      <c r="A43" s="281"/>
      <c r="B43" s="247" t="s">
        <v>1108</v>
      </c>
      <c r="C43" s="880">
        <f>SUM(D43:G43)</f>
        <v>1014</v>
      </c>
      <c r="D43" s="881"/>
      <c r="E43" s="881"/>
      <c r="F43" s="881">
        <v>1014</v>
      </c>
      <c r="G43" s="881"/>
      <c r="H43" s="880">
        <f>SUM(I43:L43)</f>
        <v>533</v>
      </c>
      <c r="I43" s="881"/>
      <c r="J43" s="881"/>
      <c r="K43" s="881">
        <v>533</v>
      </c>
      <c r="L43" s="881"/>
      <c r="M43" s="880">
        <f>SUM(N43:Q43)</f>
        <v>1014</v>
      </c>
      <c r="N43" s="881"/>
      <c r="O43" s="881"/>
      <c r="P43" s="881">
        <v>1014</v>
      </c>
      <c r="Q43" s="881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6"/>
      <c r="AC43" s="356"/>
      <c r="AD43" s="356"/>
      <c r="AE43" s="356"/>
      <c r="AF43" s="356"/>
      <c r="AG43" s="356"/>
      <c r="AH43" s="356"/>
      <c r="AI43" s="356"/>
      <c r="AJ43" s="356"/>
      <c r="AK43" s="356"/>
      <c r="AL43" s="356"/>
      <c r="AM43" s="356"/>
      <c r="AN43" s="356"/>
      <c r="AO43" s="356"/>
      <c r="AP43" s="356"/>
      <c r="AQ43" s="356"/>
      <c r="AR43" s="356"/>
      <c r="AS43" s="356"/>
      <c r="AT43" s="356"/>
      <c r="AU43" s="356"/>
      <c r="AV43" s="356"/>
      <c r="AW43" s="356"/>
      <c r="AX43" s="356"/>
      <c r="AY43" s="356"/>
      <c r="AZ43" s="356"/>
      <c r="BA43" s="356"/>
      <c r="BB43" s="356"/>
      <c r="BC43" s="356"/>
      <c r="BD43" s="356"/>
      <c r="BE43" s="356"/>
      <c r="BF43" s="356"/>
      <c r="BG43" s="356"/>
      <c r="BH43" s="356"/>
      <c r="BI43" s="356"/>
      <c r="BJ43" s="356"/>
      <c r="BK43" s="356"/>
      <c r="BL43" s="356"/>
      <c r="BM43" s="356"/>
    </row>
    <row r="44" spans="1:65" s="352" customFormat="1">
      <c r="A44" s="385"/>
      <c r="B44"/>
      <c r="C44" s="880"/>
      <c r="D44" s="881"/>
      <c r="E44" s="881"/>
      <c r="F44" s="881"/>
      <c r="G44" s="881"/>
      <c r="H44" s="880">
        <f>SUM(I44:L44)</f>
        <v>0</v>
      </c>
      <c r="I44" s="881"/>
      <c r="J44" s="881"/>
      <c r="K44" s="881"/>
      <c r="L44" s="881"/>
      <c r="M44" s="880">
        <f>SUM(N44:Q44)</f>
        <v>0</v>
      </c>
      <c r="N44" s="881"/>
      <c r="O44" s="881"/>
      <c r="P44" s="881"/>
      <c r="Q44" s="881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</row>
    <row r="45" spans="1:65" s="352" customFormat="1">
      <c r="A45" s="386"/>
      <c r="B45" s="387" t="s">
        <v>381</v>
      </c>
      <c r="C45" s="882">
        <f>SUM(C41:C44)</f>
        <v>5773</v>
      </c>
      <c r="D45" s="882">
        <f t="shared" ref="D45:G45" si="6">SUM(D41:D44)</f>
        <v>0</v>
      </c>
      <c r="E45" s="882">
        <f t="shared" si="6"/>
        <v>2122</v>
      </c>
      <c r="F45" s="882">
        <f t="shared" si="6"/>
        <v>3651</v>
      </c>
      <c r="G45" s="882">
        <f t="shared" si="6"/>
        <v>0</v>
      </c>
      <c r="H45" s="882">
        <f>SUM(H41:H44)</f>
        <v>4614</v>
      </c>
      <c r="I45" s="882">
        <f t="shared" ref="I45:Q45" si="7">SUM(I41:I44)</f>
        <v>0</v>
      </c>
      <c r="J45" s="882">
        <f t="shared" si="7"/>
        <v>2262</v>
      </c>
      <c r="K45" s="882">
        <f t="shared" si="7"/>
        <v>2352</v>
      </c>
      <c r="L45" s="882">
        <f t="shared" si="7"/>
        <v>0</v>
      </c>
      <c r="M45" s="882">
        <f t="shared" si="7"/>
        <v>5774</v>
      </c>
      <c r="N45" s="882">
        <f t="shared" si="7"/>
        <v>0</v>
      </c>
      <c r="O45" s="882">
        <f t="shared" si="7"/>
        <v>2123</v>
      </c>
      <c r="P45" s="1279">
        <f t="shared" si="7"/>
        <v>3651</v>
      </c>
      <c r="Q45" s="1279">
        <f t="shared" si="7"/>
        <v>0</v>
      </c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  <c r="AJ45" s="357"/>
      <c r="AK45" s="357"/>
      <c r="AL45" s="357"/>
      <c r="AM45" s="357"/>
      <c r="AN45" s="357"/>
      <c r="AO45" s="357"/>
      <c r="AP45" s="357"/>
      <c r="AQ45" s="357"/>
      <c r="AR45" s="357"/>
      <c r="AS45" s="357"/>
      <c r="AT45" s="357"/>
      <c r="AU45" s="357"/>
      <c r="AV45" s="357"/>
      <c r="AW45" s="357"/>
      <c r="AX45" s="357"/>
      <c r="AY45" s="357"/>
      <c r="AZ45" s="357"/>
      <c r="BA45" s="357"/>
      <c r="BB45" s="357"/>
      <c r="BC45" s="357"/>
      <c r="BD45" s="357"/>
      <c r="BE45" s="357"/>
      <c r="BF45" s="357"/>
      <c r="BG45" s="357"/>
      <c r="BH45" s="357"/>
      <c r="BI45" s="357"/>
      <c r="BJ45" s="357"/>
      <c r="BK45" s="357"/>
      <c r="BL45" s="357"/>
      <c r="BM45" s="357"/>
    </row>
    <row r="46" spans="1:65" s="352" customFormat="1">
      <c r="A46" s="280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521"/>
      <c r="Q46" s="36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  <c r="AL46" s="280"/>
      <c r="AM46" s="280"/>
      <c r="AN46" s="280"/>
      <c r="AO46" s="280"/>
      <c r="AP46" s="280"/>
      <c r="AQ46" s="280"/>
      <c r="AR46" s="280"/>
      <c r="AS46" s="280"/>
      <c r="AT46" s="280"/>
      <c r="AU46" s="280"/>
      <c r="AV46" s="280"/>
      <c r="AW46" s="280"/>
      <c r="AX46" s="280"/>
      <c r="AY46" s="280"/>
      <c r="AZ46" s="280"/>
      <c r="BA46" s="280"/>
      <c r="BB46" s="280"/>
      <c r="BC46" s="280"/>
      <c r="BD46" s="280"/>
      <c r="BE46" s="280"/>
      <c r="BF46" s="280"/>
      <c r="BG46" s="280"/>
      <c r="BH46" s="280"/>
      <c r="BI46" s="280"/>
      <c r="BJ46" s="280"/>
      <c r="BK46" s="280"/>
      <c r="BL46" s="280"/>
      <c r="BM46" s="280"/>
    </row>
    <row r="47" spans="1:65" s="352" customFormat="1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521"/>
      <c r="Q47" s="1278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280"/>
      <c r="BH47" s="280"/>
      <c r="BI47" s="280"/>
      <c r="BJ47" s="280"/>
      <c r="BK47" s="280"/>
      <c r="BL47" s="280"/>
      <c r="BM47" s="280"/>
    </row>
    <row r="48" spans="1:65" s="352" customFormat="1">
      <c r="A48" s="280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521"/>
      <c r="Q48" s="1278">
        <v>5</v>
      </c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  <c r="AL48" s="280"/>
      <c r="AM48" s="280"/>
      <c r="AN48" s="280"/>
      <c r="AO48" s="280"/>
      <c r="AP48" s="280"/>
      <c r="AQ48" s="280"/>
      <c r="AR48" s="280"/>
      <c r="AS48" s="280"/>
      <c r="AT48" s="280"/>
      <c r="AU48" s="280"/>
      <c r="AV48" s="280"/>
      <c r="AW48" s="280"/>
      <c r="AX48" s="280"/>
      <c r="AY48" s="280"/>
      <c r="AZ48" s="280"/>
      <c r="BA48" s="280"/>
      <c r="BB48" s="280"/>
      <c r="BC48" s="280"/>
      <c r="BD48" s="280"/>
      <c r="BE48" s="280"/>
      <c r="BF48" s="280"/>
      <c r="BG48" s="280"/>
      <c r="BH48" s="280"/>
      <c r="BI48" s="280"/>
      <c r="BJ48" s="280"/>
      <c r="BK48" s="280"/>
      <c r="BL48" s="280"/>
      <c r="BM48" s="280"/>
    </row>
    <row r="49" spans="1:53" s="352" customFormat="1">
      <c r="A49" s="280"/>
      <c r="B49" s="358" t="s">
        <v>494</v>
      </c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</row>
    <row r="50" spans="1:53" s="352" customFormat="1">
      <c r="A50" s="382" t="s">
        <v>265</v>
      </c>
      <c r="B50" s="383" t="s">
        <v>492</v>
      </c>
      <c r="C50" s="359" t="s">
        <v>398</v>
      </c>
      <c r="D50" s="359" t="s">
        <v>382</v>
      </c>
      <c r="E50" s="359" t="s">
        <v>392</v>
      </c>
      <c r="F50" s="359" t="s">
        <v>393</v>
      </c>
      <c r="G50" s="359" t="s">
        <v>399</v>
      </c>
      <c r="H50" s="359" t="s">
        <v>398</v>
      </c>
      <c r="I50" s="359" t="s">
        <v>382</v>
      </c>
      <c r="J50" s="359" t="s">
        <v>392</v>
      </c>
      <c r="K50" s="359" t="s">
        <v>393</v>
      </c>
      <c r="L50" s="359" t="s">
        <v>399</v>
      </c>
      <c r="M50" s="359" t="s">
        <v>398</v>
      </c>
      <c r="N50" s="359" t="s">
        <v>382</v>
      </c>
      <c r="O50" s="359" t="s">
        <v>392</v>
      </c>
      <c r="P50" s="359" t="s">
        <v>393</v>
      </c>
      <c r="Q50" s="359" t="s">
        <v>399</v>
      </c>
      <c r="R50" s="353"/>
      <c r="S50" s="353"/>
      <c r="T50" s="353"/>
      <c r="U50" s="353"/>
      <c r="V50" s="353"/>
      <c r="W50" s="353"/>
      <c r="X50" s="353"/>
      <c r="Y50" s="353"/>
      <c r="Z50" s="353"/>
      <c r="AA50" s="353"/>
      <c r="AB50" s="353"/>
      <c r="AC50" s="353"/>
      <c r="AD50" s="353"/>
      <c r="AE50" s="353"/>
      <c r="AF50" s="353"/>
      <c r="AG50" s="353"/>
      <c r="AH50" s="353"/>
      <c r="AI50" s="353"/>
      <c r="AJ50" s="353"/>
      <c r="AK50" s="353"/>
      <c r="AL50" s="353"/>
      <c r="AM50" s="353"/>
      <c r="AN50" s="353"/>
      <c r="AO50" s="353"/>
      <c r="AP50" s="353"/>
      <c r="AQ50" s="353"/>
      <c r="AR50" s="353"/>
      <c r="AS50" s="353"/>
      <c r="AT50" s="353"/>
      <c r="AU50" s="353"/>
      <c r="AV50" s="353"/>
      <c r="AW50" s="353"/>
      <c r="AX50" s="353"/>
      <c r="AY50" s="353"/>
      <c r="AZ50" s="353"/>
      <c r="BA50" s="360"/>
    </row>
    <row r="51" spans="1:53" s="352" customFormat="1">
      <c r="A51" s="281"/>
      <c r="B51" s="361"/>
      <c r="C51" s="600">
        <f>SUM(D51:G51)</f>
        <v>0</v>
      </c>
      <c r="D51" s="598"/>
      <c r="E51" s="598"/>
      <c r="F51" s="598"/>
      <c r="G51" s="598"/>
      <c r="H51" s="600">
        <f>SUM(I51:L51)</f>
        <v>0</v>
      </c>
      <c r="I51" s="598"/>
      <c r="J51" s="598"/>
      <c r="K51" s="598"/>
      <c r="L51" s="598"/>
      <c r="M51" s="600">
        <f>SUM(N51:Q51)</f>
        <v>0</v>
      </c>
      <c r="N51" s="598"/>
      <c r="O51" s="598"/>
      <c r="P51" s="598"/>
      <c r="Q51" s="598"/>
      <c r="R51" s="356"/>
      <c r="S51" s="356"/>
      <c r="T51" s="356"/>
      <c r="U51" s="356"/>
      <c r="V51" s="356"/>
      <c r="W51" s="356"/>
      <c r="X51" s="356"/>
      <c r="Y51" s="356"/>
      <c r="Z51" s="356"/>
      <c r="AA51" s="356"/>
      <c r="AB51" s="356"/>
      <c r="AC51" s="356"/>
      <c r="AD51" s="356"/>
      <c r="AE51" s="356"/>
      <c r="AF51" s="356"/>
      <c r="AG51" s="356"/>
      <c r="AH51" s="356"/>
      <c r="AI51" s="356"/>
      <c r="AJ51" s="356"/>
      <c r="AK51" s="356"/>
      <c r="AL51" s="356"/>
      <c r="AM51" s="356"/>
      <c r="AN51" s="356"/>
      <c r="AO51" s="356"/>
      <c r="AP51" s="356"/>
      <c r="AQ51" s="356"/>
      <c r="AR51" s="356"/>
      <c r="AS51" s="356"/>
      <c r="AT51" s="356"/>
      <c r="AU51" s="356"/>
      <c r="AV51" s="356"/>
      <c r="AW51" s="356"/>
      <c r="AX51" s="356"/>
      <c r="AY51" s="356"/>
      <c r="AZ51" s="356"/>
      <c r="BA51" s="360"/>
    </row>
    <row r="52" spans="1:53" s="352" customFormat="1">
      <c r="A52" s="281"/>
      <c r="B52" s="281"/>
      <c r="C52" s="600">
        <f>SUM(D52:G52)</f>
        <v>0</v>
      </c>
      <c r="D52" s="598"/>
      <c r="E52" s="598"/>
      <c r="F52" s="598"/>
      <c r="G52" s="598"/>
      <c r="H52" s="600">
        <f>SUM(I52:L52)</f>
        <v>0</v>
      </c>
      <c r="I52" s="598"/>
      <c r="J52" s="598"/>
      <c r="K52" s="598"/>
      <c r="L52" s="598"/>
      <c r="M52" s="600">
        <f>SUM(N52:Q52)</f>
        <v>0</v>
      </c>
      <c r="N52" s="598"/>
      <c r="O52" s="598"/>
      <c r="P52" s="598"/>
      <c r="Q52" s="598"/>
      <c r="R52" s="356"/>
      <c r="S52" s="356"/>
      <c r="T52" s="356"/>
      <c r="U52" s="356"/>
      <c r="V52" s="356"/>
      <c r="W52" s="356"/>
      <c r="X52" s="356"/>
      <c r="Y52" s="356"/>
      <c r="Z52" s="356"/>
      <c r="AA52" s="356"/>
      <c r="AB52" s="356"/>
      <c r="AC52" s="356"/>
      <c r="AD52" s="356"/>
      <c r="AE52" s="356"/>
      <c r="AF52" s="356"/>
      <c r="AG52" s="356"/>
      <c r="AH52" s="356"/>
      <c r="AI52" s="356"/>
      <c r="AJ52" s="356"/>
      <c r="AK52" s="356"/>
      <c r="AL52" s="356"/>
      <c r="AM52" s="356"/>
      <c r="AN52" s="356"/>
      <c r="AO52" s="356"/>
      <c r="AP52" s="356"/>
      <c r="AQ52" s="356"/>
      <c r="AR52" s="356"/>
      <c r="AS52" s="356"/>
      <c r="AT52" s="356"/>
      <c r="AU52" s="356"/>
      <c r="AV52" s="356"/>
      <c r="AW52" s="356"/>
      <c r="AX52" s="356"/>
      <c r="AY52" s="356"/>
      <c r="AZ52" s="356"/>
      <c r="BA52" s="360"/>
    </row>
    <row r="53" spans="1:53" s="352" customFormat="1">
      <c r="A53" s="281"/>
      <c r="B53" s="281"/>
      <c r="C53" s="600">
        <f>SUM(D53:G53)</f>
        <v>0</v>
      </c>
      <c r="D53" s="598"/>
      <c r="E53" s="598"/>
      <c r="F53" s="598"/>
      <c r="G53" s="598"/>
      <c r="H53" s="600">
        <f>SUM(I53:L53)</f>
        <v>0</v>
      </c>
      <c r="I53" s="598"/>
      <c r="J53" s="598"/>
      <c r="K53" s="598"/>
      <c r="L53" s="598"/>
      <c r="M53" s="600">
        <f>SUM(N53:Q53)</f>
        <v>0</v>
      </c>
      <c r="N53" s="598"/>
      <c r="O53" s="598"/>
      <c r="P53" s="598"/>
      <c r="Q53" s="598"/>
      <c r="R53" s="356"/>
      <c r="S53" s="356"/>
      <c r="T53" s="356"/>
      <c r="U53" s="356"/>
      <c r="V53" s="356"/>
      <c r="W53" s="356"/>
      <c r="X53" s="356"/>
      <c r="Y53" s="356"/>
      <c r="Z53" s="356"/>
      <c r="AA53" s="356"/>
      <c r="AB53" s="356"/>
      <c r="AC53" s="356"/>
      <c r="AD53" s="356"/>
      <c r="AE53" s="356"/>
      <c r="AF53" s="356"/>
      <c r="AG53" s="356"/>
      <c r="AH53" s="356"/>
      <c r="AI53" s="356"/>
      <c r="AJ53" s="356"/>
      <c r="AK53" s="356"/>
      <c r="AL53" s="356"/>
      <c r="AM53" s="356"/>
      <c r="AN53" s="356"/>
      <c r="AO53" s="356"/>
      <c r="AP53" s="356"/>
      <c r="AQ53" s="356"/>
      <c r="AR53" s="356"/>
      <c r="AS53" s="356"/>
      <c r="AT53" s="356"/>
      <c r="AU53" s="356"/>
      <c r="AV53" s="356"/>
      <c r="AW53" s="356"/>
      <c r="AX53" s="356"/>
      <c r="AY53" s="356"/>
      <c r="AZ53" s="356"/>
      <c r="BA53" s="360"/>
    </row>
    <row r="54" spans="1:53" s="352" customFormat="1">
      <c r="A54" s="1553"/>
      <c r="B54" s="1553"/>
      <c r="C54" s="601"/>
      <c r="D54" s="601"/>
      <c r="E54" s="601"/>
      <c r="F54" s="601"/>
      <c r="G54" s="601"/>
      <c r="H54" s="601"/>
      <c r="I54" s="601"/>
      <c r="J54" s="601"/>
      <c r="K54" s="601"/>
      <c r="L54" s="601"/>
      <c r="M54" s="601"/>
      <c r="N54" s="601"/>
      <c r="O54" s="601"/>
      <c r="P54" s="601"/>
      <c r="Q54" s="601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360"/>
    </row>
    <row r="55" spans="1:53" s="352" customFormat="1">
      <c r="A55" s="386"/>
      <c r="B55" s="387" t="s">
        <v>381</v>
      </c>
      <c r="C55" s="602">
        <f t="shared" ref="C55:Q55" si="8">SUM(C51:C53)</f>
        <v>0</v>
      </c>
      <c r="D55" s="602">
        <f t="shared" si="8"/>
        <v>0</v>
      </c>
      <c r="E55" s="602">
        <f t="shared" si="8"/>
        <v>0</v>
      </c>
      <c r="F55" s="602">
        <f t="shared" si="8"/>
        <v>0</v>
      </c>
      <c r="G55" s="602">
        <f t="shared" si="8"/>
        <v>0</v>
      </c>
      <c r="H55" s="602">
        <f t="shared" si="8"/>
        <v>0</v>
      </c>
      <c r="I55" s="602">
        <f t="shared" si="8"/>
        <v>0</v>
      </c>
      <c r="J55" s="602">
        <f t="shared" si="8"/>
        <v>0</v>
      </c>
      <c r="K55" s="602">
        <f t="shared" si="8"/>
        <v>0</v>
      </c>
      <c r="L55" s="602">
        <f t="shared" si="8"/>
        <v>0</v>
      </c>
      <c r="M55" s="602">
        <f t="shared" si="8"/>
        <v>0</v>
      </c>
      <c r="N55" s="602">
        <f t="shared" si="8"/>
        <v>0</v>
      </c>
      <c r="O55" s="602">
        <f t="shared" si="8"/>
        <v>0</v>
      </c>
      <c r="P55" s="602">
        <f t="shared" si="8"/>
        <v>0</v>
      </c>
      <c r="Q55" s="602">
        <f t="shared" si="8"/>
        <v>0</v>
      </c>
      <c r="R55" s="362"/>
      <c r="S55" s="362"/>
      <c r="T55" s="362"/>
      <c r="U55" s="362"/>
      <c r="V55" s="362"/>
      <c r="W55" s="362"/>
      <c r="X55" s="362"/>
      <c r="Y55" s="362"/>
      <c r="Z55" s="362"/>
      <c r="AA55" s="362"/>
      <c r="AB55" s="362"/>
      <c r="AC55" s="362"/>
      <c r="AD55" s="362"/>
      <c r="AE55" s="362"/>
      <c r="AF55" s="362"/>
      <c r="AG55" s="362"/>
      <c r="AH55" s="362"/>
      <c r="AI55" s="362"/>
      <c r="AJ55" s="362"/>
      <c r="AK55" s="362"/>
      <c r="AL55" s="362"/>
      <c r="AM55" s="362"/>
      <c r="AN55" s="362"/>
      <c r="AO55" s="362"/>
      <c r="AP55" s="362"/>
      <c r="AQ55" s="362"/>
      <c r="AR55" s="362"/>
      <c r="AS55" s="362"/>
      <c r="AT55" s="362"/>
      <c r="AU55" s="362"/>
      <c r="AV55" s="362"/>
      <c r="AW55" s="362"/>
      <c r="AX55" s="362"/>
      <c r="AY55" s="362"/>
      <c r="AZ55" s="362"/>
      <c r="BA55" s="360"/>
    </row>
    <row r="56" spans="1:53" s="352" customFormat="1" hidden="1">
      <c r="B56" s="363"/>
    </row>
    <row r="57" spans="1:53" s="352" customFormat="1" hidden="1">
      <c r="B57" s="363"/>
    </row>
    <row r="58" spans="1:53" s="352" customFormat="1">
      <c r="A58" s="280"/>
      <c r="B58" s="358" t="s">
        <v>588</v>
      </c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</row>
    <row r="59" spans="1:53" s="352" customFormat="1">
      <c r="A59" s="389" t="s">
        <v>265</v>
      </c>
      <c r="B59" s="383" t="s">
        <v>495</v>
      </c>
      <c r="C59" s="373" t="s">
        <v>398</v>
      </c>
      <c r="D59" s="373" t="s">
        <v>382</v>
      </c>
      <c r="E59" s="373" t="s">
        <v>392</v>
      </c>
      <c r="F59" s="373" t="s">
        <v>393</v>
      </c>
      <c r="G59" s="373" t="s">
        <v>399</v>
      </c>
      <c r="H59" s="373" t="s">
        <v>398</v>
      </c>
      <c r="I59" s="373" t="s">
        <v>382</v>
      </c>
      <c r="J59" s="373" t="s">
        <v>392</v>
      </c>
      <c r="K59" s="373" t="s">
        <v>393</v>
      </c>
      <c r="L59" s="373" t="s">
        <v>399</v>
      </c>
      <c r="M59" s="373" t="s">
        <v>398</v>
      </c>
      <c r="N59" s="373" t="s">
        <v>382</v>
      </c>
      <c r="O59" s="373" t="s">
        <v>392</v>
      </c>
      <c r="P59" s="373" t="s">
        <v>393</v>
      </c>
      <c r="Q59" s="373" t="s">
        <v>399</v>
      </c>
    </row>
    <row r="60" spans="1:53" s="352" customFormat="1">
      <c r="A60" s="253" t="s">
        <v>247</v>
      </c>
      <c r="B60" s="361" t="s">
        <v>500</v>
      </c>
      <c r="C60" s="597">
        <f>D60+E60+F60+G60</f>
        <v>21575.741733974657</v>
      </c>
      <c r="D60" s="597">
        <f>D61+D62</f>
        <v>0</v>
      </c>
      <c r="E60" s="597">
        <f>E61+E62</f>
        <v>0</v>
      </c>
      <c r="F60" s="597">
        <f>F61+F62</f>
        <v>7930.8302007521052</v>
      </c>
      <c r="G60" s="597">
        <f>G61+G62</f>
        <v>13644.911533222552</v>
      </c>
      <c r="H60" s="597">
        <f>I60+J60+K60+L60</f>
        <v>16255.540943022599</v>
      </c>
      <c r="I60" s="597">
        <f>I61+I62</f>
        <v>0</v>
      </c>
      <c r="J60" s="597">
        <f>J61+J62</f>
        <v>0</v>
      </c>
      <c r="K60" s="597">
        <f>K61+K62</f>
        <v>2466.4060094176366</v>
      </c>
      <c r="L60" s="597">
        <f>L61+L62</f>
        <v>13789.134933604962</v>
      </c>
      <c r="M60" s="597">
        <f>N60+O60+P60+Q60</f>
        <v>22247.448665474349</v>
      </c>
      <c r="N60" s="597">
        <f>N61+N62</f>
        <v>0</v>
      </c>
      <c r="O60" s="597">
        <f>O61+O62</f>
        <v>0</v>
      </c>
      <c r="P60" s="597">
        <f>P61+P62</f>
        <v>8177.7368278370832</v>
      </c>
      <c r="Q60" s="597">
        <f>Q61+Q62</f>
        <v>14069.711837637265</v>
      </c>
    </row>
    <row r="61" spans="1:53" s="352" customFormat="1">
      <c r="A61" s="253" t="s">
        <v>401</v>
      </c>
      <c r="B61" s="361" t="s">
        <v>496</v>
      </c>
      <c r="C61" s="597">
        <f t="shared" ref="C61:C71" si="9">D61+E61+F61+G61</f>
        <v>10371.439562075819</v>
      </c>
      <c r="D61" s="598"/>
      <c r="E61" s="598"/>
      <c r="F61" s="598">
        <v>7930.8302007521052</v>
      </c>
      <c r="G61" s="598">
        <v>2440.6093613237144</v>
      </c>
      <c r="H61" s="597">
        <f t="shared" ref="H61:H71" si="10">I61+J61+K61+L61</f>
        <v>4932.8120188352732</v>
      </c>
      <c r="I61" s="598"/>
      <c r="J61" s="598"/>
      <c r="K61" s="598">
        <v>2466.4060094176366</v>
      </c>
      <c r="L61" s="598">
        <v>2466.4060094176366</v>
      </c>
      <c r="M61" s="597">
        <f t="shared" ref="M61:M71" si="11">N61+O61+P61+Q61</f>
        <v>10694.328477292413</v>
      </c>
      <c r="N61" s="598"/>
      <c r="O61" s="598"/>
      <c r="P61" s="598">
        <v>8177.7368278370832</v>
      </c>
      <c r="Q61" s="598">
        <v>2516.5916494553294</v>
      </c>
    </row>
    <row r="62" spans="1:53" s="352" customFormat="1">
      <c r="A62" s="253" t="s">
        <v>402</v>
      </c>
      <c r="B62" s="361" t="s">
        <v>497</v>
      </c>
      <c r="C62" s="597">
        <f t="shared" si="9"/>
        <v>11204.302171898838</v>
      </c>
      <c r="D62" s="598"/>
      <c r="E62" s="598"/>
      <c r="F62" s="598"/>
      <c r="G62" s="598">
        <v>11204.302171898838</v>
      </c>
      <c r="H62" s="597">
        <f t="shared" si="10"/>
        <v>11322.728924187326</v>
      </c>
      <c r="I62" s="598"/>
      <c r="J62" s="598"/>
      <c r="K62" s="598"/>
      <c r="L62" s="598">
        <v>11322.728924187326</v>
      </c>
      <c r="M62" s="597">
        <f t="shared" si="11"/>
        <v>11553.120188181936</v>
      </c>
      <c r="N62" s="598"/>
      <c r="O62" s="598"/>
      <c r="P62" s="598"/>
      <c r="Q62" s="598">
        <v>11553.120188181936</v>
      </c>
    </row>
    <row r="63" spans="1:53" s="352" customFormat="1">
      <c r="A63" s="253" t="s">
        <v>243</v>
      </c>
      <c r="B63" s="361" t="s">
        <v>501</v>
      </c>
      <c r="C63" s="597">
        <f t="shared" si="9"/>
        <v>0</v>
      </c>
      <c r="D63" s="597">
        <f>D64+D65</f>
        <v>0</v>
      </c>
      <c r="E63" s="597">
        <f>E64+E65</f>
        <v>0</v>
      </c>
      <c r="F63" s="597">
        <f>F64+F65</f>
        <v>0</v>
      </c>
      <c r="G63" s="597">
        <f>G64+G65</f>
        <v>0</v>
      </c>
      <c r="H63" s="597">
        <f t="shared" si="10"/>
        <v>0</v>
      </c>
      <c r="I63" s="597">
        <f>I64+I65</f>
        <v>0</v>
      </c>
      <c r="J63" s="597">
        <f>J64+J65</f>
        <v>0</v>
      </c>
      <c r="K63" s="597">
        <f>K64+K65</f>
        <v>0</v>
      </c>
      <c r="L63" s="597">
        <f>L64+L65</f>
        <v>0</v>
      </c>
      <c r="M63" s="597">
        <f t="shared" si="11"/>
        <v>0</v>
      </c>
      <c r="N63" s="597">
        <f>N64+N65</f>
        <v>0</v>
      </c>
      <c r="O63" s="597">
        <f>O64+O65</f>
        <v>0</v>
      </c>
      <c r="P63" s="597">
        <f>P64+P65</f>
        <v>0</v>
      </c>
      <c r="Q63" s="597">
        <f>Q64+Q65</f>
        <v>0</v>
      </c>
    </row>
    <row r="64" spans="1:53" s="352" customFormat="1">
      <c r="A64" s="253" t="s">
        <v>269</v>
      </c>
      <c r="B64" s="361" t="s">
        <v>496</v>
      </c>
      <c r="C64" s="597">
        <f t="shared" si="9"/>
        <v>0</v>
      </c>
      <c r="D64" s="598"/>
      <c r="E64" s="598"/>
      <c r="F64" s="598"/>
      <c r="G64" s="598"/>
      <c r="H64" s="597">
        <f t="shared" si="10"/>
        <v>0</v>
      </c>
      <c r="I64" s="598"/>
      <c r="J64" s="598"/>
      <c r="K64" s="598"/>
      <c r="L64" s="598"/>
      <c r="M64" s="597">
        <f t="shared" si="11"/>
        <v>0</v>
      </c>
      <c r="N64" s="598"/>
      <c r="O64" s="598"/>
      <c r="P64" s="598"/>
      <c r="Q64" s="598"/>
    </row>
    <row r="65" spans="1:17" s="352" customFormat="1">
      <c r="A65" s="253" t="s">
        <v>272</v>
      </c>
      <c r="B65" s="361" t="s">
        <v>497</v>
      </c>
      <c r="C65" s="597">
        <f t="shared" si="9"/>
        <v>0</v>
      </c>
      <c r="D65" s="598"/>
      <c r="E65" s="598"/>
      <c r="F65" s="598"/>
      <c r="G65" s="598"/>
      <c r="H65" s="597">
        <f t="shared" si="10"/>
        <v>0</v>
      </c>
      <c r="I65" s="598"/>
      <c r="J65" s="598"/>
      <c r="K65" s="598"/>
      <c r="L65" s="598"/>
      <c r="M65" s="597">
        <f t="shared" si="11"/>
        <v>0</v>
      </c>
      <c r="N65" s="598"/>
      <c r="O65" s="598"/>
      <c r="P65" s="598"/>
      <c r="Q65" s="598"/>
    </row>
    <row r="66" spans="1:17" s="352" customFormat="1">
      <c r="A66" s="253" t="s">
        <v>248</v>
      </c>
      <c r="B66" s="361" t="s">
        <v>498</v>
      </c>
      <c r="C66" s="597">
        <f t="shared" si="9"/>
        <v>0</v>
      </c>
      <c r="D66" s="597">
        <f>D67+D68</f>
        <v>0</v>
      </c>
      <c r="E66" s="597">
        <f>E67+E68</f>
        <v>0</v>
      </c>
      <c r="F66" s="597">
        <f>F67+F68</f>
        <v>0</v>
      </c>
      <c r="G66" s="597">
        <f>G67+G68</f>
        <v>0</v>
      </c>
      <c r="H66" s="597">
        <f t="shared" si="10"/>
        <v>0</v>
      </c>
      <c r="I66" s="597">
        <f>I67+I68</f>
        <v>0</v>
      </c>
      <c r="J66" s="597">
        <f>J67+J68</f>
        <v>0</v>
      </c>
      <c r="K66" s="597">
        <f>K67+K68</f>
        <v>0</v>
      </c>
      <c r="L66" s="597">
        <f>L67+L68</f>
        <v>0</v>
      </c>
      <c r="M66" s="597">
        <f t="shared" si="11"/>
        <v>0</v>
      </c>
      <c r="N66" s="597">
        <f>N67+N68</f>
        <v>0</v>
      </c>
      <c r="O66" s="597">
        <f>O67+O68</f>
        <v>0</v>
      </c>
      <c r="P66" s="597">
        <f>P67+P68</f>
        <v>0</v>
      </c>
      <c r="Q66" s="597">
        <f>Q67+Q68</f>
        <v>0</v>
      </c>
    </row>
    <row r="67" spans="1:17" s="352" customFormat="1">
      <c r="A67" s="253" t="s">
        <v>412</v>
      </c>
      <c r="B67" s="361" t="s">
        <v>496</v>
      </c>
      <c r="C67" s="597">
        <f t="shared" si="9"/>
        <v>0</v>
      </c>
      <c r="D67" s="598"/>
      <c r="E67" s="598"/>
      <c r="F67" s="598"/>
      <c r="G67" s="598"/>
      <c r="H67" s="597">
        <f t="shared" si="10"/>
        <v>0</v>
      </c>
      <c r="I67" s="598"/>
      <c r="J67" s="598"/>
      <c r="K67" s="598"/>
      <c r="L67" s="598"/>
      <c r="M67" s="597">
        <f t="shared" si="11"/>
        <v>0</v>
      </c>
      <c r="N67" s="598"/>
      <c r="O67" s="598"/>
      <c r="P67" s="598"/>
      <c r="Q67" s="598"/>
    </row>
    <row r="68" spans="1:17" s="352" customFormat="1">
      <c r="A68" s="253" t="s">
        <v>413</v>
      </c>
      <c r="B68" s="361" t="s">
        <v>497</v>
      </c>
      <c r="C68" s="597">
        <f t="shared" si="9"/>
        <v>0</v>
      </c>
      <c r="D68" s="598"/>
      <c r="E68" s="598"/>
      <c r="F68" s="598"/>
      <c r="G68" s="598"/>
      <c r="H68" s="597">
        <f t="shared" si="10"/>
        <v>0</v>
      </c>
      <c r="I68" s="598"/>
      <c r="J68" s="598"/>
      <c r="K68" s="598"/>
      <c r="L68" s="598"/>
      <c r="M68" s="597">
        <f t="shared" si="11"/>
        <v>0</v>
      </c>
      <c r="N68" s="598"/>
      <c r="O68" s="598"/>
      <c r="P68" s="598"/>
      <c r="Q68" s="598"/>
    </row>
    <row r="69" spans="1:17" s="352" customFormat="1">
      <c r="A69" s="253" t="s">
        <v>250</v>
      </c>
      <c r="B69" s="361" t="s">
        <v>586</v>
      </c>
      <c r="C69" s="597">
        <f t="shared" si="9"/>
        <v>794.80700000000002</v>
      </c>
      <c r="D69" s="597">
        <f>D70+D71</f>
        <v>0</v>
      </c>
      <c r="E69" s="597">
        <f>E70+E71</f>
        <v>0</v>
      </c>
      <c r="F69" s="597">
        <f>F70+F71</f>
        <v>544.45899999999995</v>
      </c>
      <c r="G69" s="597">
        <f>G70+G71</f>
        <v>250.34800000000001</v>
      </c>
      <c r="H69" s="597">
        <f t="shared" si="10"/>
        <v>803.2079169212011</v>
      </c>
      <c r="I69" s="597">
        <f>I70+I71</f>
        <v>0</v>
      </c>
      <c r="J69" s="597">
        <f>J70+J71</f>
        <v>0</v>
      </c>
      <c r="K69" s="597">
        <f>K70+K71</f>
        <v>550.21379937393635</v>
      </c>
      <c r="L69" s="597">
        <f>L70+L71</f>
        <v>252.99411754726478</v>
      </c>
      <c r="M69" s="597">
        <f t="shared" si="11"/>
        <v>819.55133452564905</v>
      </c>
      <c r="N69" s="597">
        <f>N70+N71</f>
        <v>0</v>
      </c>
      <c r="O69" s="597">
        <f>O70+O71</f>
        <v>0</v>
      </c>
      <c r="P69" s="597">
        <f>P70+P71</f>
        <v>561.40937365234618</v>
      </c>
      <c r="Q69" s="597">
        <f>Q70+Q71</f>
        <v>258.14196087330282</v>
      </c>
    </row>
    <row r="70" spans="1:17" s="352" customFormat="1">
      <c r="A70" s="253" t="s">
        <v>406</v>
      </c>
      <c r="B70" s="361" t="s">
        <v>496</v>
      </c>
      <c r="C70" s="597">
        <f t="shared" si="9"/>
        <v>794.80700000000002</v>
      </c>
      <c r="D70" s="598"/>
      <c r="E70" s="598"/>
      <c r="F70" s="598">
        <v>544.45899999999995</v>
      </c>
      <c r="G70" s="598">
        <v>250.34800000000001</v>
      </c>
      <c r="H70" s="597">
        <f t="shared" si="10"/>
        <v>803.2079169212011</v>
      </c>
      <c r="I70" s="598"/>
      <c r="J70" s="598"/>
      <c r="K70" s="598">
        <v>550.21379937393635</v>
      </c>
      <c r="L70" s="598">
        <v>252.99411754726478</v>
      </c>
      <c r="M70" s="597">
        <f t="shared" si="11"/>
        <v>819.55133452564905</v>
      </c>
      <c r="N70" s="598"/>
      <c r="O70" s="598"/>
      <c r="P70" s="598">
        <v>561.40937365234618</v>
      </c>
      <c r="Q70" s="598">
        <v>258.14196087330282</v>
      </c>
    </row>
    <row r="71" spans="1:17" s="352" customFormat="1">
      <c r="A71" s="253" t="s">
        <v>407</v>
      </c>
      <c r="B71" s="361" t="s">
        <v>497</v>
      </c>
      <c r="C71" s="597">
        <f t="shared" si="9"/>
        <v>0</v>
      </c>
      <c r="D71" s="598"/>
      <c r="E71" s="598"/>
      <c r="F71" s="598"/>
      <c r="G71" s="598"/>
      <c r="H71" s="597">
        <f t="shared" si="10"/>
        <v>0</v>
      </c>
      <c r="I71" s="598"/>
      <c r="J71" s="598"/>
      <c r="K71" s="598"/>
      <c r="L71" s="598"/>
      <c r="M71" s="597">
        <f t="shared" si="11"/>
        <v>0</v>
      </c>
      <c r="N71" s="598"/>
      <c r="O71" s="598"/>
      <c r="P71" s="598"/>
      <c r="Q71" s="598"/>
    </row>
    <row r="72" spans="1:17" s="352" customFormat="1">
      <c r="A72" s="1554"/>
      <c r="B72" s="1554"/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</row>
    <row r="73" spans="1:17" s="352" customFormat="1">
      <c r="A73" s="390"/>
      <c r="B73" s="391" t="s">
        <v>499</v>
      </c>
      <c r="C73" s="597">
        <f>D73+E73+F73+G73</f>
        <v>22370.548733974661</v>
      </c>
      <c r="D73" s="597">
        <f>D74+D75</f>
        <v>0</v>
      </c>
      <c r="E73" s="597">
        <f>E74+E75</f>
        <v>0</v>
      </c>
      <c r="F73" s="597">
        <f>F74+F75</f>
        <v>8475.2892007521059</v>
      </c>
      <c r="G73" s="597">
        <f>G74+G75</f>
        <v>13895.259533222554</v>
      </c>
      <c r="H73" s="597">
        <f>I73+J73+K73+L73</f>
        <v>17058.7488599438</v>
      </c>
      <c r="I73" s="597">
        <f>I74+I75</f>
        <v>0</v>
      </c>
      <c r="J73" s="597">
        <f>J74+J75</f>
        <v>0</v>
      </c>
      <c r="K73" s="597">
        <f>K74+K75</f>
        <v>3016.6198087915727</v>
      </c>
      <c r="L73" s="597">
        <f>L74+L75</f>
        <v>14042.129051152227</v>
      </c>
      <c r="M73" s="597">
        <f>N73+O73+P73+Q73</f>
        <v>23067</v>
      </c>
      <c r="N73" s="597">
        <f>N74+N75</f>
        <v>0</v>
      </c>
      <c r="O73" s="597">
        <f>O74+O75</f>
        <v>0</v>
      </c>
      <c r="P73" s="597">
        <f>P74+P75</f>
        <v>8739.1462014894296</v>
      </c>
      <c r="Q73" s="597">
        <f>Q74+Q75</f>
        <v>14327.853798510569</v>
      </c>
    </row>
    <row r="74" spans="1:17" s="352" customFormat="1">
      <c r="A74" s="390"/>
      <c r="B74" s="391" t="s">
        <v>496</v>
      </c>
      <c r="C74" s="597">
        <f>D74+E74+F74+G74</f>
        <v>11166.246562075819</v>
      </c>
      <c r="D74" s="597">
        <f>D61+D64+D67+D70</f>
        <v>0</v>
      </c>
      <c r="E74" s="597">
        <f t="shared" ref="E74:G75" si="12">E61+E64+E67+E70</f>
        <v>0</v>
      </c>
      <c r="F74" s="597">
        <f t="shared" si="12"/>
        <v>8475.2892007521059</v>
      </c>
      <c r="G74" s="597">
        <f t="shared" si="12"/>
        <v>2690.9573613237144</v>
      </c>
      <c r="H74" s="597">
        <f>I74+J74+K74+L74</f>
        <v>5736.0199357564743</v>
      </c>
      <c r="I74" s="597">
        <f t="shared" ref="I74:L75" si="13">I61+I64+I67+I70</f>
        <v>0</v>
      </c>
      <c r="J74" s="597">
        <f t="shared" si="13"/>
        <v>0</v>
      </c>
      <c r="K74" s="597">
        <f t="shared" si="13"/>
        <v>3016.6198087915727</v>
      </c>
      <c r="L74" s="597">
        <f t="shared" si="13"/>
        <v>2719.4001269649016</v>
      </c>
      <c r="M74" s="597">
        <f>N74+O74+P74+Q74</f>
        <v>11513.879811818062</v>
      </c>
      <c r="N74" s="597">
        <f t="shared" ref="N74:Q75" si="14">N61+N64+N67+N70</f>
        <v>0</v>
      </c>
      <c r="O74" s="597">
        <f t="shared" si="14"/>
        <v>0</v>
      </c>
      <c r="P74" s="597">
        <f t="shared" si="14"/>
        <v>8739.1462014894296</v>
      </c>
      <c r="Q74" s="597">
        <f t="shared" si="14"/>
        <v>2774.733610328632</v>
      </c>
    </row>
    <row r="75" spans="1:17" s="352" customFormat="1">
      <c r="A75" s="390"/>
      <c r="B75" s="391" t="s">
        <v>497</v>
      </c>
      <c r="C75" s="597">
        <f>D75+E75+F75+G75</f>
        <v>11204.302171898838</v>
      </c>
      <c r="D75" s="597">
        <f>D62+D65+D68+D71</f>
        <v>0</v>
      </c>
      <c r="E75" s="597">
        <f t="shared" si="12"/>
        <v>0</v>
      </c>
      <c r="F75" s="597">
        <f t="shared" si="12"/>
        <v>0</v>
      </c>
      <c r="G75" s="597">
        <f t="shared" si="12"/>
        <v>11204.302171898838</v>
      </c>
      <c r="H75" s="597">
        <f>I75+J75+K75+L75</f>
        <v>11322.728924187326</v>
      </c>
      <c r="I75" s="597">
        <f t="shared" si="13"/>
        <v>0</v>
      </c>
      <c r="J75" s="597">
        <f t="shared" si="13"/>
        <v>0</v>
      </c>
      <c r="K75" s="597">
        <f t="shared" si="13"/>
        <v>0</v>
      </c>
      <c r="L75" s="597">
        <f t="shared" si="13"/>
        <v>11322.728924187326</v>
      </c>
      <c r="M75" s="597">
        <f>N75+O75+P75+Q75</f>
        <v>11553.120188181936</v>
      </c>
      <c r="N75" s="597">
        <f t="shared" si="14"/>
        <v>0</v>
      </c>
      <c r="O75" s="597">
        <f t="shared" si="14"/>
        <v>0</v>
      </c>
      <c r="P75" s="597">
        <f t="shared" si="14"/>
        <v>0</v>
      </c>
      <c r="Q75" s="597">
        <f t="shared" si="14"/>
        <v>11553.120188181936</v>
      </c>
    </row>
    <row r="107" spans="17:17">
      <c r="Q107" s="1277">
        <v>6</v>
      </c>
    </row>
  </sheetData>
  <protectedRanges>
    <protectedRange sqref="A41:A43" name="Диапазон1_1_1"/>
    <protectedRange sqref="A51:B53" name="Диапазон1_1_2"/>
    <protectedRange sqref="A60:B62" name="Диапазон1_1_3"/>
  </protectedRanges>
  <mergeCells count="7">
    <mergeCell ref="A54:B54"/>
    <mergeCell ref="A72:B72"/>
    <mergeCell ref="A5:A6"/>
    <mergeCell ref="M5:Q5"/>
    <mergeCell ref="C5:G5"/>
    <mergeCell ref="H5:L5"/>
    <mergeCell ref="B5:B6"/>
  </mergeCells>
  <phoneticPr fontId="16" type="noConversion"/>
  <printOptions horizontalCentered="1"/>
  <pageMargins left="0.39370078740157483" right="0.27559055118110237" top="0.39370078740157483" bottom="0" header="0" footer="0"/>
  <pageSetup paperSize="9" scale="79" fitToHeight="0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4">
    <tabColor indexed="26"/>
    <pageSetUpPr fitToPage="1"/>
  </sheetPr>
  <dimension ref="A1:AU90"/>
  <sheetViews>
    <sheetView topLeftCell="A49" workbookViewId="0">
      <selection activeCell="I100" sqref="I100"/>
    </sheetView>
  </sheetViews>
  <sheetFormatPr defaultColWidth="8" defaultRowHeight="12.75"/>
  <cols>
    <col min="1" max="1" width="5.5703125" style="88" customWidth="1"/>
    <col min="2" max="2" width="41.5703125" style="96" customWidth="1"/>
    <col min="3" max="12" width="7.7109375" style="88" customWidth="1"/>
    <col min="13" max="13" width="8.5703125" style="88" customWidth="1"/>
    <col min="14" max="18" width="8" style="88"/>
    <col min="19" max="19" width="11.7109375" style="88" bestFit="1" customWidth="1"/>
    <col min="20" max="16384" width="8" style="88"/>
  </cols>
  <sheetData>
    <row r="1" spans="1:19">
      <c r="A1" s="86"/>
      <c r="B1" s="87"/>
      <c r="C1" s="86"/>
      <c r="D1" s="86"/>
      <c r="E1" s="86"/>
      <c r="F1" s="86"/>
      <c r="G1" s="86"/>
      <c r="I1" s="89"/>
      <c r="J1" s="89"/>
    </row>
    <row r="2" spans="1:19">
      <c r="A2" s="86"/>
      <c r="B2" s="87"/>
      <c r="C2" s="86"/>
      <c r="D2" s="86"/>
      <c r="E2" s="86"/>
      <c r="F2" s="86"/>
      <c r="G2" s="86"/>
      <c r="H2" s="90"/>
      <c r="I2" s="89"/>
      <c r="J2" s="89"/>
      <c r="K2" s="89"/>
    </row>
    <row r="3" spans="1:19" ht="16.5" customHeight="1">
      <c r="A3" s="188"/>
      <c r="B3" s="189" t="s">
        <v>584</v>
      </c>
      <c r="C3" s="190"/>
      <c r="D3" s="190"/>
      <c r="E3" s="190"/>
      <c r="F3" s="190"/>
      <c r="G3" s="189"/>
      <c r="H3" s="190"/>
      <c r="K3" s="190"/>
      <c r="L3" s="190"/>
      <c r="M3" s="190"/>
      <c r="N3" s="190"/>
      <c r="O3" s="190"/>
      <c r="P3" s="190"/>
      <c r="Q3" s="90" t="s">
        <v>5</v>
      </c>
    </row>
    <row r="4" spans="1:19" ht="13.5" thickBot="1">
      <c r="A4" s="91" t="s">
        <v>293</v>
      </c>
      <c r="B4" s="92"/>
      <c r="C4" s="160" t="str">
        <f>IF(ROUND(C12+C13-C17-C19,2)=0,"","Не сходится поступление и отпуск")</f>
        <v/>
      </c>
      <c r="D4" s="91"/>
      <c r="E4" s="91"/>
      <c r="F4" s="91"/>
      <c r="G4" s="91"/>
      <c r="H4" s="160" t="str">
        <f>IF(H12+H13-H17-H19=0,"","Не сходится поступление и отпуск")</f>
        <v/>
      </c>
      <c r="I4" s="89"/>
      <c r="J4" s="89"/>
      <c r="M4" s="160" t="str">
        <f>IF(ROUND(M12+M13-M17-M19,2)=0,"","Не сходится поступление и отпуск")</f>
        <v/>
      </c>
      <c r="Q4" s="93" t="s">
        <v>3</v>
      </c>
    </row>
    <row r="5" spans="1:19" ht="12.75" customHeight="1">
      <c r="A5" s="1555" t="s">
        <v>294</v>
      </c>
      <c r="B5" s="1560" t="s">
        <v>266</v>
      </c>
      <c r="C5" s="1557" t="s">
        <v>910</v>
      </c>
      <c r="D5" s="1558"/>
      <c r="E5" s="1558"/>
      <c r="F5" s="1558"/>
      <c r="G5" s="1559"/>
      <c r="H5" s="1557" t="s">
        <v>912</v>
      </c>
      <c r="I5" s="1558"/>
      <c r="J5" s="1558"/>
      <c r="K5" s="1558"/>
      <c r="L5" s="1559"/>
      <c r="M5" s="1557" t="s">
        <v>935</v>
      </c>
      <c r="N5" s="1558"/>
      <c r="O5" s="1558"/>
      <c r="P5" s="1558"/>
      <c r="Q5" s="1559"/>
    </row>
    <row r="6" spans="1:19" ht="13.5" thickBot="1">
      <c r="A6" s="1556"/>
      <c r="B6" s="1561"/>
      <c r="C6" s="136" t="s">
        <v>398</v>
      </c>
      <c r="D6" s="137" t="s">
        <v>382</v>
      </c>
      <c r="E6" s="137" t="s">
        <v>392</v>
      </c>
      <c r="F6" s="137" t="s">
        <v>393</v>
      </c>
      <c r="G6" s="138" t="s">
        <v>399</v>
      </c>
      <c r="H6" s="136" t="s">
        <v>398</v>
      </c>
      <c r="I6" s="137" t="s">
        <v>382</v>
      </c>
      <c r="J6" s="137" t="s">
        <v>392</v>
      </c>
      <c r="K6" s="137" t="s">
        <v>393</v>
      </c>
      <c r="L6" s="138" t="s">
        <v>399</v>
      </c>
      <c r="M6" s="136" t="s">
        <v>398</v>
      </c>
      <c r="N6" s="137" t="s">
        <v>382</v>
      </c>
      <c r="O6" s="137" t="s">
        <v>392</v>
      </c>
      <c r="P6" s="137" t="s">
        <v>393</v>
      </c>
      <c r="Q6" s="138" t="s">
        <v>399</v>
      </c>
    </row>
    <row r="7" spans="1:19" ht="15.75" thickBot="1">
      <c r="A7" s="144" t="s">
        <v>247</v>
      </c>
      <c r="B7" s="145" t="s">
        <v>454</v>
      </c>
      <c r="C7" s="612"/>
      <c r="D7" s="595">
        <f>D19+D17+E9+F9+G9</f>
        <v>0</v>
      </c>
      <c r="E7" s="595">
        <f>E19+E17+F10+G10</f>
        <v>0</v>
      </c>
      <c r="F7" s="650">
        <f>F19+F17+G11</f>
        <v>5.2193126022913248</v>
      </c>
      <c r="G7" s="651">
        <f>G19+G17</f>
        <v>3.2375030914711762</v>
      </c>
      <c r="H7" s="612"/>
      <c r="I7" s="595">
        <f>I19+I17+J9+K9+L9</f>
        <v>0</v>
      </c>
      <c r="J7" s="595">
        <f>J19+J17+K10+L10</f>
        <v>0</v>
      </c>
      <c r="K7" s="595">
        <f>K19+K17+L11</f>
        <v>4.938545454545455</v>
      </c>
      <c r="L7" s="613">
        <f>L19+L17</f>
        <v>3.2215123553846956</v>
      </c>
      <c r="M7" s="612"/>
      <c r="N7" s="595">
        <f>N19+N17+O9+P9+Q9</f>
        <v>6.4870423077678652E-7</v>
      </c>
      <c r="O7" s="595">
        <f>O19+O17+P10+Q10</f>
        <v>6.4870423077678652E-7</v>
      </c>
      <c r="P7" s="595">
        <f>P19+P17+Q11</f>
        <v>5.2251553629379401</v>
      </c>
      <c r="Q7" s="613">
        <f>Q19+Q17</f>
        <v>3.2416229730441488</v>
      </c>
    </row>
    <row r="8" spans="1:19" ht="26.25">
      <c r="A8" s="139" t="s">
        <v>401</v>
      </c>
      <c r="B8" s="140" t="s">
        <v>409</v>
      </c>
      <c r="C8" s="614"/>
      <c r="D8" s="615" t="s">
        <v>246</v>
      </c>
      <c r="E8" s="616">
        <f>E7-E12-E13</f>
        <v>0</v>
      </c>
      <c r="F8" s="616">
        <f>F7-F12-F13</f>
        <v>0</v>
      </c>
      <c r="G8" s="617">
        <f>G7-G12-G13</f>
        <v>3.2375030914711762</v>
      </c>
      <c r="H8" s="614"/>
      <c r="I8" s="615" t="s">
        <v>246</v>
      </c>
      <c r="J8" s="616">
        <f>J7-J12-J13</f>
        <v>0</v>
      </c>
      <c r="K8" s="616">
        <f>K7-K12-K13</f>
        <v>0</v>
      </c>
      <c r="L8" s="617">
        <f>L7-L12-L13</f>
        <v>3.2215123553846956</v>
      </c>
      <c r="M8" s="614"/>
      <c r="N8" s="615" t="s">
        <v>246</v>
      </c>
      <c r="O8" s="616">
        <f>O7-O12-O13</f>
        <v>6.4870423077678652E-7</v>
      </c>
      <c r="P8" s="616">
        <f>P7-P12-P13</f>
        <v>6.4870423077678652E-7</v>
      </c>
      <c r="Q8" s="617">
        <f>Q7-Q12-Q13</f>
        <v>3.2416229730441488</v>
      </c>
    </row>
    <row r="9" spans="1:19" ht="15">
      <c r="A9" s="97"/>
      <c r="B9" s="102" t="s">
        <v>382</v>
      </c>
      <c r="C9" s="618"/>
      <c r="D9" s="619" t="s">
        <v>246</v>
      </c>
      <c r="E9" s="620">
        <f>E8</f>
        <v>0</v>
      </c>
      <c r="F9" s="621"/>
      <c r="G9" s="622"/>
      <c r="H9" s="618"/>
      <c r="I9" s="619" t="s">
        <v>246</v>
      </c>
      <c r="J9" s="620">
        <f>J8</f>
        <v>0</v>
      </c>
      <c r="K9" s="621"/>
      <c r="L9" s="622"/>
      <c r="M9" s="618"/>
      <c r="N9" s="619" t="s">
        <v>246</v>
      </c>
      <c r="O9" s="620">
        <f>O8</f>
        <v>6.4870423077678652E-7</v>
      </c>
      <c r="P9" s="623"/>
      <c r="Q9" s="622"/>
    </row>
    <row r="10" spans="1:19" ht="15">
      <c r="A10" s="97"/>
      <c r="B10" s="102" t="s">
        <v>392</v>
      </c>
      <c r="C10" s="618"/>
      <c r="D10" s="619" t="s">
        <v>246</v>
      </c>
      <c r="E10" s="619" t="s">
        <v>246</v>
      </c>
      <c r="F10" s="620">
        <f>F8-F9</f>
        <v>0</v>
      </c>
      <c r="G10" s="622"/>
      <c r="H10" s="618"/>
      <c r="I10" s="619" t="s">
        <v>246</v>
      </c>
      <c r="J10" s="619" t="s">
        <v>246</v>
      </c>
      <c r="K10" s="620">
        <f>K8-K9</f>
        <v>0</v>
      </c>
      <c r="L10" s="622"/>
      <c r="M10" s="618"/>
      <c r="N10" s="619" t="s">
        <v>246</v>
      </c>
      <c r="O10" s="619" t="s">
        <v>246</v>
      </c>
      <c r="P10" s="620">
        <f>P8-P9</f>
        <v>6.4870423077678652E-7</v>
      </c>
      <c r="Q10" s="622"/>
    </row>
    <row r="11" spans="1:19" ht="15.75" thickBot="1">
      <c r="A11" s="143"/>
      <c r="B11" s="104" t="s">
        <v>393</v>
      </c>
      <c r="C11" s="624"/>
      <c r="D11" s="625" t="s">
        <v>246</v>
      </c>
      <c r="E11" s="625" t="s">
        <v>246</v>
      </c>
      <c r="F11" s="625" t="s">
        <v>246</v>
      </c>
      <c r="G11" s="626">
        <f>G8-G9-G10</f>
        <v>3.2375030914711762</v>
      </c>
      <c r="H11" s="624"/>
      <c r="I11" s="625" t="s">
        <v>246</v>
      </c>
      <c r="J11" s="625" t="s">
        <v>246</v>
      </c>
      <c r="K11" s="625" t="s">
        <v>246</v>
      </c>
      <c r="L11" s="626">
        <f>L8-L9-L10</f>
        <v>3.2215123553846956</v>
      </c>
      <c r="M11" s="624"/>
      <c r="N11" s="625" t="s">
        <v>246</v>
      </c>
      <c r="O11" s="625" t="s">
        <v>246</v>
      </c>
      <c r="P11" s="625" t="s">
        <v>246</v>
      </c>
      <c r="Q11" s="626">
        <f>Q8-Q9-Q10</f>
        <v>3.2416229730441488</v>
      </c>
    </row>
    <row r="12" spans="1:19" ht="15">
      <c r="A12" s="139" t="s">
        <v>402</v>
      </c>
      <c r="B12" s="140" t="s">
        <v>410</v>
      </c>
      <c r="C12" s="627">
        <f t="shared" ref="C12:C17" si="0">D12+E12+F12+G12</f>
        <v>0</v>
      </c>
      <c r="D12" s="628"/>
      <c r="E12" s="628"/>
      <c r="F12" s="628"/>
      <c r="G12" s="629"/>
      <c r="H12" s="627">
        <f t="shared" ref="H12:H17" si="1">I12+J12+K12+L12</f>
        <v>0</v>
      </c>
      <c r="I12" s="628"/>
      <c r="J12" s="628"/>
      <c r="K12" s="628"/>
      <c r="L12" s="629"/>
      <c r="M12" s="627">
        <f t="shared" ref="M12:M17" si="2">N12+O12+P12+Q12</f>
        <v>0</v>
      </c>
      <c r="N12" s="628"/>
      <c r="O12" s="628"/>
      <c r="P12" s="628"/>
      <c r="Q12" s="629"/>
      <c r="S12" s="676"/>
    </row>
    <row r="13" spans="1:19" ht="15">
      <c r="A13" s="97" t="s">
        <v>403</v>
      </c>
      <c r="B13" s="102" t="s">
        <v>487</v>
      </c>
      <c r="C13" s="652">
        <f>D13+E13+F13+G13</f>
        <v>5.2193126022913265</v>
      </c>
      <c r="D13" s="631">
        <f>D14+D15+D16</f>
        <v>0</v>
      </c>
      <c r="E13" s="631">
        <f>E14+E15+E16</f>
        <v>0</v>
      </c>
      <c r="F13" s="646">
        <f>F14+F15+F16</f>
        <v>5.2193126022913265</v>
      </c>
      <c r="G13" s="647">
        <f>G14+G15+G16</f>
        <v>0</v>
      </c>
      <c r="H13" s="630">
        <f t="shared" si="1"/>
        <v>4.938545454545455</v>
      </c>
      <c r="I13" s="631">
        <f>I14+I15+I16</f>
        <v>0</v>
      </c>
      <c r="J13" s="631">
        <f>J14+J15+J16</f>
        <v>0</v>
      </c>
      <c r="K13" s="631">
        <f>K14+K15+K16</f>
        <v>4.938545454545455</v>
      </c>
      <c r="L13" s="632">
        <f>L14+L15+L16</f>
        <v>0</v>
      </c>
      <c r="M13" s="630">
        <f t="shared" si="2"/>
        <v>5.2251547142337094</v>
      </c>
      <c r="N13" s="631">
        <f>N14+N15+N16</f>
        <v>0</v>
      </c>
      <c r="O13" s="631">
        <f>O14+O15+O16</f>
        <v>0</v>
      </c>
      <c r="P13" s="631">
        <f>P14+P15+P16</f>
        <v>5.2251547142337094</v>
      </c>
      <c r="Q13" s="632">
        <f>Q14+Q15+Q16</f>
        <v>0</v>
      </c>
      <c r="S13" s="676"/>
    </row>
    <row r="14" spans="1:19" ht="15">
      <c r="A14" s="97" t="s">
        <v>446</v>
      </c>
      <c r="B14" s="177" t="s">
        <v>489</v>
      </c>
      <c r="C14" s="630">
        <f t="shared" si="0"/>
        <v>0</v>
      </c>
      <c r="D14" s="623"/>
      <c r="E14" s="623"/>
      <c r="F14" s="623"/>
      <c r="G14" s="622"/>
      <c r="H14" s="630">
        <f t="shared" si="1"/>
        <v>0</v>
      </c>
      <c r="I14" s="623"/>
      <c r="J14" s="623"/>
      <c r="K14" s="623"/>
      <c r="L14" s="622"/>
      <c r="M14" s="630">
        <f t="shared" si="2"/>
        <v>0</v>
      </c>
      <c r="N14" s="623"/>
      <c r="O14" s="623"/>
      <c r="P14" s="623"/>
      <c r="Q14" s="622"/>
      <c r="S14" s="676"/>
    </row>
    <row r="15" spans="1:19" ht="26.25">
      <c r="A15" s="97" t="s">
        <v>447</v>
      </c>
      <c r="B15" s="177" t="s">
        <v>488</v>
      </c>
      <c r="C15" s="652">
        <f t="shared" si="0"/>
        <v>4.1694853609747229</v>
      </c>
      <c r="D15" s="623"/>
      <c r="E15" s="623"/>
      <c r="F15" s="648">
        <v>4.1694853609747229</v>
      </c>
      <c r="G15" s="639"/>
      <c r="H15" s="630">
        <f t="shared" si="1"/>
        <v>4.099636363636364</v>
      </c>
      <c r="I15" s="623"/>
      <c r="J15" s="623"/>
      <c r="K15" s="883">
        <v>4.099636363636364</v>
      </c>
      <c r="L15" s="639"/>
      <c r="M15" s="630">
        <f t="shared" si="2"/>
        <v>4.1741900254823445</v>
      </c>
      <c r="N15" s="623"/>
      <c r="O15" s="623"/>
      <c r="P15" s="648">
        <v>4.1741900254823445</v>
      </c>
      <c r="Q15" s="639"/>
      <c r="S15" s="676"/>
    </row>
    <row r="16" spans="1:19" ht="15.75" thickBot="1">
      <c r="A16" s="143" t="s">
        <v>448</v>
      </c>
      <c r="B16" s="178" t="s">
        <v>490</v>
      </c>
      <c r="C16" s="654">
        <f t="shared" si="0"/>
        <v>1.0498272413166032</v>
      </c>
      <c r="D16" s="634"/>
      <c r="E16" s="634"/>
      <c r="F16" s="640">
        <v>1.0498272413166032</v>
      </c>
      <c r="G16" s="641"/>
      <c r="H16" s="633">
        <f t="shared" si="1"/>
        <v>0.83890909090909094</v>
      </c>
      <c r="I16" s="634"/>
      <c r="J16" s="634"/>
      <c r="K16" s="640">
        <v>0.83890909090909094</v>
      </c>
      <c r="L16" s="641"/>
      <c r="M16" s="633">
        <f t="shared" si="2"/>
        <v>1.0509646887513651</v>
      </c>
      <c r="N16" s="634"/>
      <c r="O16" s="634"/>
      <c r="P16" s="640">
        <v>1.0509646887513651</v>
      </c>
      <c r="Q16" s="641"/>
      <c r="S16" s="676"/>
    </row>
    <row r="17" spans="1:19" ht="15">
      <c r="A17" s="139" t="s">
        <v>243</v>
      </c>
      <c r="B17" s="140" t="s">
        <v>455</v>
      </c>
      <c r="C17" s="653">
        <f t="shared" si="0"/>
        <v>1.151119112565921</v>
      </c>
      <c r="D17" s="628"/>
      <c r="E17" s="628"/>
      <c r="F17" s="642">
        <v>0.44062020367339516</v>
      </c>
      <c r="G17" s="643">
        <v>0.71049890889252587</v>
      </c>
      <c r="H17" s="627">
        <f t="shared" si="1"/>
        <v>0.82818181818181824</v>
      </c>
      <c r="I17" s="628"/>
      <c r="J17" s="628"/>
      <c r="K17" s="642">
        <v>0.28794219006984978</v>
      </c>
      <c r="L17" s="884">
        <v>0.54023962811196846</v>
      </c>
      <c r="M17" s="627">
        <f t="shared" si="2"/>
        <v>1.0265750935531566</v>
      </c>
      <c r="N17" s="623"/>
      <c r="O17" s="623"/>
      <c r="P17" s="642">
        <v>0.39294780346332148</v>
      </c>
      <c r="Q17" s="643">
        <v>0.6336272900898352</v>
      </c>
      <c r="S17" s="676"/>
    </row>
    <row r="18" spans="1:19" ht="15.75" thickBot="1">
      <c r="A18" s="143"/>
      <c r="B18" s="104" t="s">
        <v>411</v>
      </c>
      <c r="C18" s="152" t="str">
        <f>IF(C7=0,"",C17/C7)</f>
        <v/>
      </c>
      <c r="D18" s="151">
        <f>IF(D7=0,0,D17/D7)</f>
        <v>0</v>
      </c>
      <c r="E18" s="151">
        <f>IF(E7=0,0,E17/E7)</f>
        <v>0</v>
      </c>
      <c r="F18" s="151">
        <f>IF(F7=0,0,F17/F7)</f>
        <v>8.4421117731089526E-2</v>
      </c>
      <c r="G18" s="153">
        <f>IF(G7=0,0,G17/G7)</f>
        <v>0.21945891287772118</v>
      </c>
      <c r="H18" s="152" t="str">
        <f>IF(H7=0,"",H17/H7)</f>
        <v/>
      </c>
      <c r="I18" s="151">
        <f>IF(I7=0,0,I17/I7)</f>
        <v>0</v>
      </c>
      <c r="J18" s="151">
        <f>IF(J7=0,0,J17/J7)</f>
        <v>0</v>
      </c>
      <c r="K18" s="151">
        <f>IF(K7=0,0,K17/K7)</f>
        <v>5.8305060208533009E-2</v>
      </c>
      <c r="L18" s="153">
        <f>IF(L7=0,0,L17/L7)</f>
        <v>0.16769751859215079</v>
      </c>
      <c r="M18" s="152" t="str">
        <f>IF(M7=0,"",M17/M7)</f>
        <v/>
      </c>
      <c r="N18" s="151">
        <f>IF(N7=0,0,N17/N7)</f>
        <v>0</v>
      </c>
      <c r="O18" s="151">
        <f>IF(O7=0,0,O17/O7)</f>
        <v>0</v>
      </c>
      <c r="P18" s="151">
        <f>IF(P7=0,0,P17/P7)</f>
        <v>7.5203085108340076E-2</v>
      </c>
      <c r="Q18" s="153">
        <f>IF(Q7=0,0,Q17/Q7)</f>
        <v>0.19546606602889643</v>
      </c>
      <c r="S18" s="676"/>
    </row>
    <row r="19" spans="1:19" ht="15">
      <c r="A19" s="139" t="s">
        <v>248</v>
      </c>
      <c r="B19" s="140" t="s">
        <v>456</v>
      </c>
      <c r="C19" s="653">
        <f t="shared" ref="C19:C32" si="3">D19+E19+F19+G19</f>
        <v>4.0681934897254042</v>
      </c>
      <c r="D19" s="636">
        <f>D20+D24+D28+D29</f>
        <v>0</v>
      </c>
      <c r="E19" s="636">
        <f>E20+E24+E28+E29</f>
        <v>0</v>
      </c>
      <c r="F19" s="644">
        <f>F20+F24+F28+F29</f>
        <v>1.541189307146754</v>
      </c>
      <c r="G19" s="645">
        <f>G20+G24+G28+G29</f>
        <v>2.5270041825786502</v>
      </c>
      <c r="H19" s="627">
        <f t="shared" ref="H19:H32" si="4">I19+J19+K19+L19</f>
        <v>4.1103636363636369</v>
      </c>
      <c r="I19" s="636">
        <f>I20+I24+I28+I29</f>
        <v>0</v>
      </c>
      <c r="J19" s="636">
        <f>J20+J24+J28+J29</f>
        <v>0</v>
      </c>
      <c r="K19" s="636">
        <f>K20+K24+K28+K29</f>
        <v>1.4290909090909092</v>
      </c>
      <c r="L19" s="617">
        <f>L20+L24+L28+L29</f>
        <v>2.6812727272727273</v>
      </c>
      <c r="M19" s="627">
        <f t="shared" ref="M19:M32" si="5">N19+O19+P19+Q19</f>
        <v>4.1985802693847836</v>
      </c>
      <c r="N19" s="636">
        <f>N20+N24+N28+N29</f>
        <v>0</v>
      </c>
      <c r="O19" s="636">
        <f>O20+O24+O28+O29</f>
        <v>0</v>
      </c>
      <c r="P19" s="636">
        <f>P20+P24+P28+P29</f>
        <v>1.59058458643047</v>
      </c>
      <c r="Q19" s="617">
        <f>Q20+Q24+Q28+Q29</f>
        <v>2.6079956829543134</v>
      </c>
      <c r="S19" s="676"/>
    </row>
    <row r="20" spans="1:19" ht="39">
      <c r="A20" s="97" t="s">
        <v>412</v>
      </c>
      <c r="B20" s="102" t="s">
        <v>457</v>
      </c>
      <c r="C20" s="630">
        <f t="shared" si="3"/>
        <v>4.0681934897254042</v>
      </c>
      <c r="D20" s="631">
        <f>D21+D22+D23</f>
        <v>0</v>
      </c>
      <c r="E20" s="631">
        <f>E21+E22+E23</f>
        <v>0</v>
      </c>
      <c r="F20" s="646">
        <f>F21+F22+F23</f>
        <v>1.541189307146754</v>
      </c>
      <c r="G20" s="647">
        <f>G21+G22+G23</f>
        <v>2.5270041825786502</v>
      </c>
      <c r="H20" s="630">
        <f t="shared" si="4"/>
        <v>4.1103636363636369</v>
      </c>
      <c r="I20" s="631">
        <f>I21+I22+I23</f>
        <v>0</v>
      </c>
      <c r="J20" s="631">
        <f>J21+J22+J23</f>
        <v>0</v>
      </c>
      <c r="K20" s="631">
        <f>K21+K22+K23</f>
        <v>1.4290909090909092</v>
      </c>
      <c r="L20" s="632">
        <f>L21+L22+L23</f>
        <v>2.6812727272727273</v>
      </c>
      <c r="M20" s="630">
        <f t="shared" si="5"/>
        <v>4.1985802693847836</v>
      </c>
      <c r="N20" s="631">
        <f>N21+N22+N23</f>
        <v>0</v>
      </c>
      <c r="O20" s="631">
        <f>O21+O22+O23</f>
        <v>0</v>
      </c>
      <c r="P20" s="631">
        <f>P21+P22+P23</f>
        <v>1.59058458643047</v>
      </c>
      <c r="Q20" s="632">
        <f>Q21+Q22+Q23</f>
        <v>2.6079956829543134</v>
      </c>
    </row>
    <row r="21" spans="1:19" ht="15">
      <c r="A21" s="134" t="s">
        <v>437</v>
      </c>
      <c r="B21" s="177" t="s">
        <v>4</v>
      </c>
      <c r="C21" s="652">
        <f t="shared" si="3"/>
        <v>4.0681934897254042</v>
      </c>
      <c r="D21" s="623"/>
      <c r="E21" s="623"/>
      <c r="F21" s="648">
        <v>1.541189307146754</v>
      </c>
      <c r="G21" s="639">
        <v>2.5270041825786502</v>
      </c>
      <c r="H21" s="630">
        <f t="shared" si="4"/>
        <v>4.1103636363636369</v>
      </c>
      <c r="I21" s="623"/>
      <c r="J21" s="623"/>
      <c r="K21" s="883">
        <v>1.4290909090909092</v>
      </c>
      <c r="L21" s="887">
        <v>2.6812727272727273</v>
      </c>
      <c r="M21" s="630">
        <f>N21+O21+P21+Q21</f>
        <v>4.1985802693847836</v>
      </c>
      <c r="N21" s="623"/>
      <c r="O21" s="623"/>
      <c r="P21" s="886">
        <v>1.59058458643047</v>
      </c>
      <c r="Q21" s="885">
        <v>2.6079956829543134</v>
      </c>
    </row>
    <row r="22" spans="1:19" ht="15">
      <c r="A22" s="134" t="s">
        <v>438</v>
      </c>
      <c r="B22" s="177" t="s">
        <v>491</v>
      </c>
      <c r="C22" s="652">
        <f t="shared" si="3"/>
        <v>0</v>
      </c>
      <c r="D22" s="623"/>
      <c r="E22" s="623"/>
      <c r="F22" s="649"/>
      <c r="G22" s="622"/>
      <c r="H22" s="630">
        <f t="shared" si="4"/>
        <v>0</v>
      </c>
      <c r="I22" s="623"/>
      <c r="J22" s="623"/>
      <c r="K22" s="623"/>
      <c r="L22" s="622"/>
      <c r="M22" s="630">
        <f t="shared" si="5"/>
        <v>0</v>
      </c>
      <c r="N22" s="623"/>
      <c r="O22" s="623"/>
      <c r="P22" s="623"/>
      <c r="Q22" s="623"/>
    </row>
    <row r="23" spans="1:19" ht="15">
      <c r="A23" s="134" t="s">
        <v>439</v>
      </c>
      <c r="B23" s="177"/>
      <c r="C23" s="630">
        <f t="shared" si="3"/>
        <v>0</v>
      </c>
      <c r="D23" s="623"/>
      <c r="E23" s="623"/>
      <c r="F23" s="623"/>
      <c r="G23" s="622"/>
      <c r="H23" s="630">
        <f t="shared" si="4"/>
        <v>0</v>
      </c>
      <c r="I23" s="623"/>
      <c r="J23" s="623"/>
      <c r="K23" s="623"/>
      <c r="L23" s="622"/>
      <c r="M23" s="630">
        <f t="shared" si="5"/>
        <v>0</v>
      </c>
      <c r="N23" s="623"/>
      <c r="O23" s="623"/>
      <c r="P23" s="623"/>
      <c r="Q23" s="623"/>
    </row>
    <row r="24" spans="1:19" ht="26.25">
      <c r="A24" s="97" t="s">
        <v>413</v>
      </c>
      <c r="B24" s="102" t="s">
        <v>0</v>
      </c>
      <c r="C24" s="630">
        <f t="shared" si="3"/>
        <v>0</v>
      </c>
      <c r="D24" s="631">
        <f>D25+D26+D27</f>
        <v>0</v>
      </c>
      <c r="E24" s="631">
        <f>E25+E26+E27</f>
        <v>0</v>
      </c>
      <c r="F24" s="631">
        <f>F25+F26+F27</f>
        <v>0</v>
      </c>
      <c r="G24" s="632">
        <f>G25+G26+G27</f>
        <v>0</v>
      </c>
      <c r="H24" s="630">
        <f t="shared" si="4"/>
        <v>0</v>
      </c>
      <c r="I24" s="631">
        <f>I25+I26+I27</f>
        <v>0</v>
      </c>
      <c r="J24" s="631">
        <f>J25+J26+J27</f>
        <v>0</v>
      </c>
      <c r="K24" s="631">
        <f>K25+K26+K27</f>
        <v>0</v>
      </c>
      <c r="L24" s="632">
        <f>L25+L26+L27</f>
        <v>0</v>
      </c>
      <c r="M24" s="630">
        <f t="shared" si="5"/>
        <v>0</v>
      </c>
      <c r="N24" s="631">
        <f>N25+N26+N27</f>
        <v>0</v>
      </c>
      <c r="O24" s="631">
        <f>O25+O26+O27</f>
        <v>0</v>
      </c>
      <c r="P24" s="631">
        <f>P25+P26+P27</f>
        <v>0</v>
      </c>
      <c r="Q24" s="632">
        <f>Q25+Q26+Q27</f>
        <v>0</v>
      </c>
    </row>
    <row r="25" spans="1:19" ht="15">
      <c r="A25" s="134" t="s">
        <v>440</v>
      </c>
      <c r="B25" s="184"/>
      <c r="C25" s="630">
        <f t="shared" si="3"/>
        <v>0</v>
      </c>
      <c r="D25" s="637"/>
      <c r="E25" s="637"/>
      <c r="F25" s="637"/>
      <c r="G25" s="638"/>
      <c r="H25" s="630">
        <f t="shared" si="4"/>
        <v>0</v>
      </c>
      <c r="I25" s="637"/>
      <c r="J25" s="637"/>
      <c r="K25" s="637"/>
      <c r="L25" s="638"/>
      <c r="M25" s="630">
        <f t="shared" si="5"/>
        <v>0</v>
      </c>
      <c r="N25" s="637"/>
      <c r="O25" s="637"/>
      <c r="P25" s="637"/>
      <c r="Q25" s="638"/>
    </row>
    <row r="26" spans="1:19" ht="15">
      <c r="A26" s="134" t="s">
        <v>441</v>
      </c>
      <c r="B26" s="184"/>
      <c r="C26" s="630">
        <f t="shared" si="3"/>
        <v>0</v>
      </c>
      <c r="D26" s="637"/>
      <c r="E26" s="637"/>
      <c r="F26" s="637"/>
      <c r="G26" s="638"/>
      <c r="H26" s="630">
        <f t="shared" si="4"/>
        <v>0</v>
      </c>
      <c r="I26" s="637"/>
      <c r="J26" s="637"/>
      <c r="K26" s="637"/>
      <c r="L26" s="638"/>
      <c r="M26" s="630">
        <f t="shared" si="5"/>
        <v>0</v>
      </c>
      <c r="N26" s="637"/>
      <c r="O26" s="637"/>
      <c r="P26" s="637"/>
      <c r="Q26" s="638"/>
    </row>
    <row r="27" spans="1:19" ht="15">
      <c r="A27" s="134" t="s">
        <v>442</v>
      </c>
      <c r="B27" s="184"/>
      <c r="C27" s="630">
        <f t="shared" si="3"/>
        <v>0</v>
      </c>
      <c r="D27" s="637"/>
      <c r="E27" s="637"/>
      <c r="F27" s="637"/>
      <c r="G27" s="638"/>
      <c r="H27" s="630">
        <f t="shared" si="4"/>
        <v>0</v>
      </c>
      <c r="I27" s="637"/>
      <c r="J27" s="637"/>
      <c r="K27" s="637"/>
      <c r="L27" s="638"/>
      <c r="M27" s="630">
        <f t="shared" si="5"/>
        <v>0</v>
      </c>
      <c r="N27" s="637"/>
      <c r="O27" s="637"/>
      <c r="P27" s="637"/>
      <c r="Q27" s="638"/>
    </row>
    <row r="28" spans="1:19" ht="26.25">
      <c r="A28" s="97" t="s">
        <v>414</v>
      </c>
      <c r="B28" s="103" t="s">
        <v>1</v>
      </c>
      <c r="C28" s="630">
        <f t="shared" si="3"/>
        <v>0</v>
      </c>
      <c r="D28" s="623"/>
      <c r="E28" s="623"/>
      <c r="F28" s="623"/>
      <c r="G28" s="622"/>
      <c r="H28" s="630">
        <f t="shared" si="4"/>
        <v>0</v>
      </c>
      <c r="I28" s="623"/>
      <c r="J28" s="623"/>
      <c r="K28" s="623"/>
      <c r="L28" s="622"/>
      <c r="M28" s="630">
        <f t="shared" si="5"/>
        <v>0</v>
      </c>
      <c r="N28" s="623"/>
      <c r="O28" s="623"/>
      <c r="P28" s="623"/>
      <c r="Q28" s="623"/>
    </row>
    <row r="29" spans="1:19" ht="26.25">
      <c r="A29" s="97" t="s">
        <v>435</v>
      </c>
      <c r="B29" s="102" t="s">
        <v>2</v>
      </c>
      <c r="C29" s="630">
        <f t="shared" si="3"/>
        <v>0</v>
      </c>
      <c r="D29" s="631">
        <f>D30+D31+D32</f>
        <v>0</v>
      </c>
      <c r="E29" s="631">
        <f>E30+E31+E32</f>
        <v>0</v>
      </c>
      <c r="F29" s="631">
        <f>F30+F31+F32</f>
        <v>0</v>
      </c>
      <c r="G29" s="632">
        <f>G30+G31+G32</f>
        <v>0</v>
      </c>
      <c r="H29" s="630">
        <f t="shared" si="4"/>
        <v>0</v>
      </c>
      <c r="I29" s="631">
        <f>I30+I31+I32</f>
        <v>0</v>
      </c>
      <c r="J29" s="631">
        <f>J30+J31+J32</f>
        <v>0</v>
      </c>
      <c r="K29" s="631">
        <f>K30+K31+K32</f>
        <v>0</v>
      </c>
      <c r="L29" s="632">
        <f>L30+L31+L32</f>
        <v>0</v>
      </c>
      <c r="M29" s="630">
        <f t="shared" si="5"/>
        <v>0</v>
      </c>
      <c r="N29" s="631">
        <f>N30+N31+N32</f>
        <v>0</v>
      </c>
      <c r="O29" s="631">
        <f>O30+O31+O32</f>
        <v>0</v>
      </c>
      <c r="P29" s="631">
        <f>P30+P31+P32</f>
        <v>0</v>
      </c>
      <c r="Q29" s="632">
        <f>Q30+Q31+Q32</f>
        <v>0</v>
      </c>
    </row>
    <row r="30" spans="1:19" ht="15">
      <c r="A30" s="134" t="s">
        <v>443</v>
      </c>
      <c r="B30" s="185"/>
      <c r="C30" s="630">
        <f t="shared" si="3"/>
        <v>0</v>
      </c>
      <c r="D30" s="637"/>
      <c r="E30" s="637"/>
      <c r="F30" s="637"/>
      <c r="G30" s="638"/>
      <c r="H30" s="630">
        <f t="shared" si="4"/>
        <v>0</v>
      </c>
      <c r="I30" s="637"/>
      <c r="J30" s="637"/>
      <c r="K30" s="637"/>
      <c r="L30" s="638"/>
      <c r="M30" s="630">
        <f t="shared" si="5"/>
        <v>0</v>
      </c>
      <c r="N30" s="637"/>
      <c r="O30" s="637"/>
      <c r="P30" s="637"/>
      <c r="Q30" s="638"/>
    </row>
    <row r="31" spans="1:19" ht="15">
      <c r="A31" s="134" t="s">
        <v>444</v>
      </c>
      <c r="B31" s="184"/>
      <c r="C31" s="630">
        <f t="shared" si="3"/>
        <v>0</v>
      </c>
      <c r="D31" s="637"/>
      <c r="E31" s="637"/>
      <c r="F31" s="637"/>
      <c r="G31" s="638"/>
      <c r="H31" s="630">
        <f t="shared" si="4"/>
        <v>0</v>
      </c>
      <c r="I31" s="637"/>
      <c r="J31" s="637"/>
      <c r="K31" s="637"/>
      <c r="L31" s="638"/>
      <c r="M31" s="630">
        <f t="shared" si="5"/>
        <v>0</v>
      </c>
      <c r="N31" s="637"/>
      <c r="O31" s="637"/>
      <c r="P31" s="637"/>
      <c r="Q31" s="638"/>
    </row>
    <row r="32" spans="1:19" ht="15.75" thickBot="1">
      <c r="A32" s="135" t="s">
        <v>445</v>
      </c>
      <c r="B32" s="178"/>
      <c r="C32" s="633">
        <f t="shared" si="3"/>
        <v>0</v>
      </c>
      <c r="D32" s="634"/>
      <c r="E32" s="634"/>
      <c r="F32" s="634"/>
      <c r="G32" s="635"/>
      <c r="H32" s="633">
        <f t="shared" si="4"/>
        <v>0</v>
      </c>
      <c r="I32" s="634"/>
      <c r="J32" s="634"/>
      <c r="K32" s="634"/>
      <c r="L32" s="635"/>
      <c r="M32" s="633">
        <f t="shared" si="5"/>
        <v>0</v>
      </c>
      <c r="N32" s="634"/>
      <c r="O32" s="634"/>
      <c r="P32" s="634"/>
      <c r="Q32" s="635"/>
    </row>
    <row r="33" spans="1:47" ht="13.5" thickBot="1">
      <c r="A33" s="86"/>
      <c r="B33" s="87"/>
      <c r="C33" s="86"/>
      <c r="D33" s="86"/>
      <c r="E33" s="86"/>
      <c r="F33" s="86"/>
      <c r="G33" s="86"/>
      <c r="H33" s="86"/>
      <c r="I33" s="89"/>
      <c r="J33" s="89"/>
      <c r="K33" s="89"/>
    </row>
    <row r="34" spans="1:47" ht="25.5">
      <c r="A34" s="200" t="s">
        <v>406</v>
      </c>
      <c r="B34" s="203" t="s">
        <v>12</v>
      </c>
      <c r="C34" s="655">
        <f>SUM(D34:G34)</f>
        <v>4.9207980396109896</v>
      </c>
      <c r="D34" s="604">
        <f>D35+D36</f>
        <v>0</v>
      </c>
      <c r="E34" s="604">
        <f>E35+E36</f>
        <v>0</v>
      </c>
      <c r="F34" s="658">
        <f>F35+F36</f>
        <v>1.6832949481398134</v>
      </c>
      <c r="G34" s="659">
        <f>G35+G36</f>
        <v>3.2375030914711762</v>
      </c>
      <c r="H34" s="603">
        <f>SUM(I34:L34)</f>
        <v>4.7390854554455002</v>
      </c>
      <c r="I34" s="604">
        <f>I35+I36</f>
        <v>0</v>
      </c>
      <c r="J34" s="604">
        <f>J35+J36</f>
        <v>0</v>
      </c>
      <c r="K34" s="604">
        <f>K35+K36</f>
        <v>1.5175731000608046</v>
      </c>
      <c r="L34" s="605">
        <f>L35+L36</f>
        <v>3.2215123553846956</v>
      </c>
      <c r="M34" s="603">
        <f>SUM(N34:Q34)</f>
        <v>4.9615514901249043</v>
      </c>
      <c r="N34" s="604">
        <f>N35+N36</f>
        <v>0</v>
      </c>
      <c r="O34" s="604">
        <f>O35+O36</f>
        <v>0</v>
      </c>
      <c r="P34" s="604">
        <f>P35+P36</f>
        <v>1.719928517080755</v>
      </c>
      <c r="Q34" s="605">
        <f>Q35+Q36</f>
        <v>3.2416229730441488</v>
      </c>
    </row>
    <row r="35" spans="1:47">
      <c r="A35" s="201" t="s">
        <v>407</v>
      </c>
      <c r="B35" s="204" t="s">
        <v>10</v>
      </c>
      <c r="C35" s="656">
        <f>SUM(D35:G35)</f>
        <v>0.85260454988558532</v>
      </c>
      <c r="D35" s="607">
        <f>IF((D7-D17)=0,0,D17/(D7-D17)*D36)</f>
        <v>0</v>
      </c>
      <c r="E35" s="607">
        <f>IF((E7-E17)=0,0,E17/(E7-E17)*E36)</f>
        <v>0</v>
      </c>
      <c r="F35" s="660">
        <f>IF((F7-F17)=0,0,F17/(F7-F17)*F36)</f>
        <v>0.14210564099305945</v>
      </c>
      <c r="G35" s="661">
        <f>IF((G7-G17)=0,0,G17/(G7-G17)*G36)</f>
        <v>0.71049890889252587</v>
      </c>
      <c r="H35" s="606">
        <f>SUM(I35:L35)</f>
        <v>0.62872181908186375</v>
      </c>
      <c r="I35" s="607">
        <f>IF((I7-I17)=0,0,I17/(I7-I17)*I36)</f>
        <v>0</v>
      </c>
      <c r="J35" s="607">
        <f>IF((J7-J17)=0,0,J17/(J7-J17)*J36)</f>
        <v>0</v>
      </c>
      <c r="K35" s="607">
        <f>IF((K7-K17)=0,0,K17/(K7-K17)*K36)</f>
        <v>8.8482190969895305E-2</v>
      </c>
      <c r="L35" s="608">
        <f>IF((L7-L17)=0,0,L17/(L7-L17)*L36)</f>
        <v>0.54023962811196846</v>
      </c>
      <c r="M35" s="606">
        <f>SUM(N35:Q35)</f>
        <v>0.76297122074012036</v>
      </c>
      <c r="N35" s="607">
        <f>IF((N7-N17)=0,0,N17/(N7-N17)*N36)</f>
        <v>0</v>
      </c>
      <c r="O35" s="607">
        <f>IF((O7-O17)=0,0,O17/(O7-O17)*O36)</f>
        <v>0</v>
      </c>
      <c r="P35" s="607">
        <f>IF((P7-P17)=0,0,P17/(P7-P17)*P36)</f>
        <v>0.12934393065028515</v>
      </c>
      <c r="Q35" s="608">
        <f>IF((Q7-Q17)=0,0,Q17/(Q7-Q17)*Q36)</f>
        <v>0.6336272900898352</v>
      </c>
    </row>
    <row r="36" spans="1:47" ht="13.5" thickBot="1">
      <c r="A36" s="202" t="s">
        <v>8</v>
      </c>
      <c r="B36" s="205" t="s">
        <v>13</v>
      </c>
      <c r="C36" s="657">
        <f>SUM(D36:G36)</f>
        <v>4.0681934897254042</v>
      </c>
      <c r="D36" s="610">
        <f>D29+D24+D20</f>
        <v>0</v>
      </c>
      <c r="E36" s="610">
        <f>E29+E24+E20</f>
        <v>0</v>
      </c>
      <c r="F36" s="662">
        <f>F29+F24+F20</f>
        <v>1.541189307146754</v>
      </c>
      <c r="G36" s="663">
        <f>G29+G24+G20</f>
        <v>2.5270041825786502</v>
      </c>
      <c r="H36" s="609">
        <f>SUM(I36:L36)</f>
        <v>4.1103636363636369</v>
      </c>
      <c r="I36" s="610">
        <f>I29+I24+I20</f>
        <v>0</v>
      </c>
      <c r="J36" s="610">
        <f>J29+J24+J20</f>
        <v>0</v>
      </c>
      <c r="K36" s="610">
        <f>K29+K24+K20</f>
        <v>1.4290909090909092</v>
      </c>
      <c r="L36" s="611">
        <f>L29+L24+L20</f>
        <v>2.6812727272727273</v>
      </c>
      <c r="M36" s="609">
        <f>SUM(N36:Q36)</f>
        <v>4.1985802693847836</v>
      </c>
      <c r="N36" s="610">
        <f>N29+N24+N20</f>
        <v>0</v>
      </c>
      <c r="O36" s="610">
        <f>O29+O24+O20</f>
        <v>0</v>
      </c>
      <c r="P36" s="610">
        <f>P29+P24+P20</f>
        <v>1.59058458643047</v>
      </c>
      <c r="Q36" s="611">
        <f>Q29+Q24+Q20</f>
        <v>2.6079956829543134</v>
      </c>
    </row>
    <row r="37" spans="1:47">
      <c r="A37" s="89"/>
      <c r="B37" s="95"/>
      <c r="C37" s="89"/>
      <c r="D37" s="89"/>
      <c r="E37" s="89"/>
      <c r="F37" s="89"/>
      <c r="G37" s="89"/>
      <c r="H37" s="89"/>
      <c r="I37" s="89"/>
      <c r="J37" s="89"/>
      <c r="K37" s="89"/>
    </row>
    <row r="40" spans="1:47" s="352" customFormat="1">
      <c r="A40" s="280"/>
      <c r="B40" s="358" t="s">
        <v>502</v>
      </c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0"/>
      <c r="AT40" s="280"/>
      <c r="AU40" s="280"/>
    </row>
    <row r="41" spans="1:47" s="352" customFormat="1">
      <c r="A41" s="382" t="s">
        <v>265</v>
      </c>
      <c r="B41" s="383" t="s">
        <v>492</v>
      </c>
      <c r="C41" s="359" t="s">
        <v>398</v>
      </c>
      <c r="D41" s="359" t="s">
        <v>382</v>
      </c>
      <c r="E41" s="359" t="s">
        <v>392</v>
      </c>
      <c r="F41" s="359" t="s">
        <v>393</v>
      </c>
      <c r="G41" s="359" t="s">
        <v>399</v>
      </c>
      <c r="H41" s="359" t="s">
        <v>398</v>
      </c>
      <c r="I41" s="359" t="s">
        <v>382</v>
      </c>
      <c r="J41" s="359" t="s">
        <v>392</v>
      </c>
      <c r="K41" s="359" t="s">
        <v>393</v>
      </c>
      <c r="L41" s="359" t="s">
        <v>399</v>
      </c>
      <c r="M41" s="359" t="s">
        <v>398</v>
      </c>
      <c r="N41" s="359" t="s">
        <v>382</v>
      </c>
      <c r="O41" s="359" t="s">
        <v>392</v>
      </c>
      <c r="P41" s="359" t="s">
        <v>393</v>
      </c>
      <c r="Q41" s="359" t="s">
        <v>399</v>
      </c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6"/>
      <c r="AC41" s="366"/>
      <c r="AD41" s="366"/>
      <c r="AE41" s="366"/>
      <c r="AF41" s="366"/>
      <c r="AG41" s="366"/>
      <c r="AH41" s="366"/>
      <c r="AI41" s="366"/>
      <c r="AJ41" s="366"/>
      <c r="AK41" s="366"/>
      <c r="AL41" s="366"/>
      <c r="AM41" s="366"/>
      <c r="AN41" s="366"/>
      <c r="AO41" s="366"/>
      <c r="AP41" s="366"/>
      <c r="AQ41" s="366"/>
      <c r="AR41" s="366"/>
      <c r="AS41" s="366"/>
      <c r="AT41" s="366"/>
      <c r="AU41" s="366"/>
    </row>
    <row r="42" spans="1:47" s="352" customFormat="1">
      <c r="A42" s="281"/>
      <c r="B42" s="281" t="s">
        <v>1106</v>
      </c>
      <c r="C42" s="354">
        <v>0.29199999999999998</v>
      </c>
      <c r="D42" s="355"/>
      <c r="E42" s="881">
        <f>'1.4'!E41/5499</f>
        <v>0.38588834333515187</v>
      </c>
      <c r="F42" s="881"/>
      <c r="G42" s="881"/>
      <c r="H42" s="880">
        <v>0.4</v>
      </c>
      <c r="I42" s="881"/>
      <c r="J42" s="881">
        <f>'1.4'!J41/5499</f>
        <v>0.41134751773049644</v>
      </c>
      <c r="K42" s="881"/>
      <c r="L42" s="881"/>
      <c r="M42" s="880">
        <v>0.4</v>
      </c>
      <c r="N42" s="881"/>
      <c r="O42" s="881">
        <f>'1.4'!O41/5499</f>
        <v>0.38607019458083286</v>
      </c>
      <c r="P42" s="881"/>
      <c r="Q42" s="355"/>
      <c r="R42" s="367"/>
      <c r="S42" s="367"/>
      <c r="T42" s="367"/>
      <c r="U42" s="367"/>
      <c r="V42" s="367"/>
      <c r="W42" s="367"/>
      <c r="X42" s="367"/>
      <c r="Y42" s="367"/>
      <c r="Z42" s="367"/>
      <c r="AA42" s="367"/>
      <c r="AB42" s="367"/>
      <c r="AC42" s="367"/>
      <c r="AD42" s="367"/>
      <c r="AE42" s="367"/>
      <c r="AF42" s="367"/>
      <c r="AG42" s="367"/>
      <c r="AH42" s="367"/>
      <c r="AI42" s="367"/>
      <c r="AJ42" s="367"/>
      <c r="AK42" s="367"/>
      <c r="AL42" s="367"/>
      <c r="AM42" s="367"/>
      <c r="AN42" s="367"/>
      <c r="AO42" s="367"/>
      <c r="AP42" s="367"/>
      <c r="AQ42" s="367"/>
      <c r="AR42" s="367"/>
      <c r="AS42" s="367"/>
      <c r="AT42" s="367"/>
      <c r="AU42" s="367"/>
    </row>
    <row r="43" spans="1:47" s="352" customFormat="1">
      <c r="A43" s="281"/>
      <c r="B43" s="281" t="s">
        <v>1107</v>
      </c>
      <c r="C43" s="354">
        <v>1.3859999999999999</v>
      </c>
      <c r="D43" s="355"/>
      <c r="E43" s="881"/>
      <c r="F43" s="881">
        <f>'1.4'!F42/5499</f>
        <v>0.47954173486088381</v>
      </c>
      <c r="G43" s="881"/>
      <c r="H43" s="880">
        <v>1</v>
      </c>
      <c r="I43" s="881"/>
      <c r="J43" s="881"/>
      <c r="K43" s="881">
        <f>'1.4'!K42/5499</f>
        <v>0.3307874158937989</v>
      </c>
      <c r="L43" s="881"/>
      <c r="M43" s="880">
        <v>1</v>
      </c>
      <c r="N43" s="881"/>
      <c r="O43" s="881"/>
      <c r="P43" s="881">
        <f>'1.4'!P42/5499</f>
        <v>0.47954173486088381</v>
      </c>
      <c r="Q43" s="355"/>
      <c r="R43" s="367"/>
      <c r="S43" s="367"/>
      <c r="T43" s="367"/>
      <c r="U43" s="367"/>
      <c r="V43" s="367"/>
      <c r="W43" s="367"/>
      <c r="X43" s="367"/>
      <c r="Y43" s="367"/>
      <c r="Z43" s="367"/>
      <c r="AA43" s="367"/>
      <c r="AB43" s="367"/>
      <c r="AC43" s="367"/>
      <c r="AD43" s="367"/>
      <c r="AE43" s="367"/>
      <c r="AF43" s="367"/>
      <c r="AG43" s="367"/>
      <c r="AH43" s="367"/>
      <c r="AI43" s="367"/>
      <c r="AJ43" s="367"/>
      <c r="AK43" s="367"/>
      <c r="AL43" s="367"/>
      <c r="AM43" s="367"/>
      <c r="AN43" s="367"/>
      <c r="AO43" s="367"/>
      <c r="AP43" s="367"/>
      <c r="AQ43" s="367"/>
      <c r="AR43" s="367"/>
      <c r="AS43" s="367"/>
      <c r="AT43" s="367"/>
      <c r="AU43" s="367"/>
    </row>
    <row r="44" spans="1:47" s="352" customFormat="1">
      <c r="A44" s="281"/>
      <c r="B44" s="281" t="s">
        <v>1108</v>
      </c>
      <c r="C44" s="354">
        <v>0.45500000000000002</v>
      </c>
      <c r="D44" s="355"/>
      <c r="E44" s="881"/>
      <c r="F44" s="881">
        <f>'1.4'!F43/5499</f>
        <v>0.18439716312056736</v>
      </c>
      <c r="G44" s="881"/>
      <c r="H44" s="880">
        <v>0.4</v>
      </c>
      <c r="I44" s="881"/>
      <c r="J44" s="881"/>
      <c r="K44" s="881">
        <f>'1.4'!K43/5499</f>
        <v>9.6926713947990545E-2</v>
      </c>
      <c r="L44" s="881"/>
      <c r="M44" s="880">
        <v>0.45</v>
      </c>
      <c r="N44" s="881"/>
      <c r="O44" s="881"/>
      <c r="P44" s="881">
        <f>'1.4'!P43/5499</f>
        <v>0.18439716312056736</v>
      </c>
      <c r="Q44" s="355"/>
      <c r="R44" s="367"/>
      <c r="S44" s="367"/>
      <c r="T44" s="367"/>
      <c r="U44" s="367"/>
      <c r="V44" s="367"/>
      <c r="W44" s="367"/>
      <c r="X44" s="367"/>
      <c r="Y44" s="367"/>
      <c r="Z44" s="367"/>
      <c r="AA44" s="367"/>
      <c r="AB44" s="367"/>
      <c r="AC44" s="367"/>
      <c r="AD44" s="367"/>
      <c r="AE44" s="367"/>
      <c r="AF44" s="367"/>
      <c r="AG44" s="367"/>
      <c r="AH44" s="367"/>
      <c r="AI44" s="367"/>
      <c r="AJ44" s="367"/>
      <c r="AK44" s="367"/>
      <c r="AL44" s="367"/>
      <c r="AM44" s="367"/>
      <c r="AN44" s="367"/>
      <c r="AO44" s="367"/>
      <c r="AP44" s="367"/>
      <c r="AQ44" s="367"/>
      <c r="AR44" s="367"/>
      <c r="AS44" s="367"/>
      <c r="AT44" s="367"/>
      <c r="AU44" s="367"/>
    </row>
    <row r="45" spans="1:47" s="352" customFormat="1">
      <c r="A45" s="384"/>
      <c r="B45" s="281"/>
      <c r="C45" s="354">
        <v>0.63400000000000001</v>
      </c>
      <c r="D45" s="355"/>
      <c r="E45" s="355"/>
      <c r="F45" s="355"/>
      <c r="G45" s="355"/>
      <c r="H45" s="354">
        <v>0.7</v>
      </c>
      <c r="I45" s="355"/>
      <c r="J45" s="355"/>
      <c r="K45" s="355"/>
      <c r="L45" s="355"/>
      <c r="M45" s="354">
        <v>0.6</v>
      </c>
      <c r="N45" s="355"/>
      <c r="O45" s="355"/>
      <c r="P45" s="355"/>
      <c r="Q45" s="355"/>
      <c r="R45" s="367"/>
      <c r="S45" s="367"/>
      <c r="T45" s="367"/>
      <c r="U45" s="367"/>
      <c r="V45" s="367"/>
      <c r="W45" s="367"/>
      <c r="X45" s="367"/>
      <c r="Y45" s="367"/>
      <c r="Z45" s="367"/>
      <c r="AA45" s="367"/>
      <c r="AB45" s="367"/>
      <c r="AC45" s="367"/>
      <c r="AD45" s="367"/>
      <c r="AE45" s="367"/>
      <c r="AF45" s="367"/>
      <c r="AG45" s="367"/>
      <c r="AH45" s="367"/>
      <c r="AI45" s="367"/>
      <c r="AJ45" s="367"/>
      <c r="AK45" s="367"/>
      <c r="AL45" s="367"/>
      <c r="AM45" s="367"/>
      <c r="AN45" s="367"/>
      <c r="AO45" s="367"/>
      <c r="AP45" s="367"/>
      <c r="AQ45" s="367"/>
      <c r="AR45" s="367"/>
      <c r="AS45" s="367"/>
      <c r="AT45" s="367"/>
      <c r="AU45" s="367"/>
    </row>
    <row r="46" spans="1:47" s="352" customFormat="1">
      <c r="A46" s="384"/>
      <c r="B46" s="281"/>
      <c r="C46" s="354">
        <v>0.14000000000000001</v>
      </c>
      <c r="D46" s="355"/>
      <c r="E46" s="355"/>
      <c r="F46" s="355"/>
      <c r="G46" s="355"/>
      <c r="H46" s="354">
        <v>0.1</v>
      </c>
      <c r="I46" s="355"/>
      <c r="J46" s="355"/>
      <c r="K46" s="355"/>
      <c r="L46" s="355"/>
      <c r="M46" s="354">
        <v>0.2</v>
      </c>
      <c r="N46" s="355"/>
      <c r="O46" s="355"/>
      <c r="P46" s="355"/>
      <c r="Q46" s="355"/>
      <c r="R46" s="367"/>
      <c r="S46" s="367"/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7"/>
      <c r="AE46" s="367"/>
      <c r="AF46" s="367"/>
      <c r="AG46" s="367"/>
      <c r="AH46" s="367"/>
      <c r="AI46" s="367"/>
      <c r="AJ46" s="367"/>
      <c r="AK46" s="367"/>
      <c r="AL46" s="367"/>
      <c r="AM46" s="367"/>
      <c r="AN46" s="367"/>
      <c r="AO46" s="367"/>
      <c r="AP46" s="367"/>
      <c r="AQ46" s="367"/>
      <c r="AR46" s="367"/>
      <c r="AS46" s="367"/>
      <c r="AT46" s="367"/>
      <c r="AU46" s="367"/>
    </row>
    <row r="47" spans="1:47" s="352" customFormat="1">
      <c r="A47" s="384"/>
      <c r="B47" s="281"/>
      <c r="C47" s="354">
        <v>1</v>
      </c>
      <c r="D47" s="355"/>
      <c r="E47" s="355"/>
      <c r="F47" s="355"/>
      <c r="G47" s="355"/>
      <c r="H47" s="354">
        <v>1.39</v>
      </c>
      <c r="I47" s="355"/>
      <c r="J47" s="355"/>
      <c r="K47" s="355"/>
      <c r="L47" s="355"/>
      <c r="M47" s="354">
        <v>1.38</v>
      </c>
      <c r="N47" s="355"/>
      <c r="O47" s="355"/>
      <c r="P47" s="355"/>
      <c r="Q47" s="355"/>
      <c r="R47" s="367"/>
      <c r="S47" s="367"/>
      <c r="T47" s="367"/>
      <c r="U47" s="367"/>
      <c r="V47" s="367"/>
      <c r="W47" s="367"/>
      <c r="X47" s="367"/>
      <c r="Y47" s="367"/>
      <c r="Z47" s="367"/>
      <c r="AA47" s="367"/>
      <c r="AB47" s="367"/>
      <c r="AC47" s="367"/>
      <c r="AD47" s="367"/>
      <c r="AE47" s="367"/>
      <c r="AF47" s="367"/>
      <c r="AG47" s="367"/>
      <c r="AH47" s="367"/>
      <c r="AI47" s="367"/>
      <c r="AJ47" s="367"/>
      <c r="AK47" s="367"/>
      <c r="AL47" s="367"/>
      <c r="AM47" s="367"/>
      <c r="AN47" s="367"/>
      <c r="AO47" s="367"/>
      <c r="AP47" s="367"/>
      <c r="AQ47" s="367"/>
      <c r="AR47" s="367"/>
      <c r="AS47" s="367"/>
      <c r="AT47" s="367"/>
      <c r="AU47" s="367"/>
    </row>
    <row r="48" spans="1:47" s="352" customFormat="1">
      <c r="A48" s="384"/>
      <c r="B48" s="281"/>
      <c r="C48" s="354">
        <v>4.1920000000000002</v>
      </c>
      <c r="D48" s="355"/>
      <c r="E48" s="355"/>
      <c r="F48" s="355"/>
      <c r="G48" s="355"/>
      <c r="H48" s="354">
        <v>3.4</v>
      </c>
      <c r="I48" s="355"/>
      <c r="J48" s="355"/>
      <c r="K48" s="355"/>
      <c r="L48" s="355"/>
      <c r="M48" s="354">
        <v>3.1</v>
      </c>
      <c r="N48" s="355"/>
      <c r="O48" s="355"/>
      <c r="P48" s="355"/>
      <c r="Q48" s="355"/>
      <c r="R48" s="367"/>
      <c r="S48" s="367"/>
      <c r="T48" s="367"/>
      <c r="U48" s="367"/>
      <c r="V48" s="367"/>
      <c r="W48" s="367"/>
      <c r="X48" s="367"/>
      <c r="Y48" s="367"/>
      <c r="Z48" s="367"/>
      <c r="AA48" s="367"/>
      <c r="AB48" s="367"/>
      <c r="AC48" s="367"/>
      <c r="AD48" s="367"/>
      <c r="AE48" s="367"/>
      <c r="AF48" s="367"/>
      <c r="AG48" s="367"/>
      <c r="AH48" s="367"/>
      <c r="AI48" s="367"/>
      <c r="AJ48" s="367"/>
      <c r="AK48" s="367"/>
      <c r="AL48" s="367"/>
      <c r="AM48" s="367"/>
      <c r="AN48" s="367"/>
      <c r="AO48" s="367"/>
      <c r="AP48" s="367"/>
      <c r="AQ48" s="367"/>
      <c r="AR48" s="367"/>
      <c r="AS48" s="367"/>
      <c r="AT48" s="367"/>
      <c r="AU48" s="367"/>
    </row>
    <row r="49" spans="1:47" s="352" customFormat="1">
      <c r="A49" s="386"/>
      <c r="B49" s="387" t="s">
        <v>381</v>
      </c>
      <c r="C49" s="372">
        <f>SUM(C42:C48)</f>
        <v>8.0990000000000002</v>
      </c>
      <c r="D49" s="372">
        <f>SUM(D42:D44)</f>
        <v>0</v>
      </c>
      <c r="E49" s="372">
        <f>SUM(E42:E44)</f>
        <v>0.38588834333515187</v>
      </c>
      <c r="F49" s="372">
        <f>SUM(F42:F44)</f>
        <v>0.66393889798145111</v>
      </c>
      <c r="G49" s="372">
        <f>SUM(G42:G44)</f>
        <v>0</v>
      </c>
      <c r="H49" s="372">
        <f>SUM(H42:H48)</f>
        <v>7.3900000000000006</v>
      </c>
      <c r="I49" s="372">
        <f>SUM(I42:I44)</f>
        <v>0</v>
      </c>
      <c r="J49" s="372">
        <f>SUM(J42:J44)</f>
        <v>0.41134751773049644</v>
      </c>
      <c r="K49" s="372">
        <f>SUM(K42:K44)</f>
        <v>0.42771412984178947</v>
      </c>
      <c r="L49" s="372">
        <f>SUM(L42:L44)</f>
        <v>0</v>
      </c>
      <c r="M49" s="372">
        <f>SUM(M42:M48)</f>
        <v>7.129999999999999</v>
      </c>
      <c r="N49" s="372">
        <f>SUM(N42:N44)</f>
        <v>0</v>
      </c>
      <c r="O49" s="372">
        <f>SUM(O42:O44)</f>
        <v>0.38607019458083286</v>
      </c>
      <c r="P49" s="372">
        <f>SUM(P42:P44)</f>
        <v>0.66393889798145111</v>
      </c>
      <c r="Q49" s="372">
        <f>SUM(Q42:Q44)</f>
        <v>0</v>
      </c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368"/>
      <c r="AI49" s="368"/>
      <c r="AJ49" s="368"/>
      <c r="AK49" s="368"/>
      <c r="AL49" s="368"/>
      <c r="AM49" s="368"/>
      <c r="AN49" s="368"/>
      <c r="AO49" s="368"/>
      <c r="AP49" s="368"/>
      <c r="AQ49" s="368"/>
      <c r="AR49" s="368"/>
      <c r="AS49" s="368"/>
      <c r="AT49" s="368"/>
      <c r="AU49" s="368"/>
    </row>
    <row r="50" spans="1:47" s="352" customFormat="1">
      <c r="A50" s="280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381"/>
      <c r="R50" s="369"/>
      <c r="S50" s="369"/>
      <c r="T50" s="369"/>
      <c r="U50" s="369"/>
      <c r="V50" s="369"/>
      <c r="W50" s="369"/>
      <c r="X50" s="369"/>
      <c r="Y50" s="369"/>
      <c r="Z50" s="369"/>
      <c r="AA50" s="369"/>
      <c r="AB50" s="369"/>
      <c r="AC50" s="369"/>
      <c r="AD50" s="369"/>
      <c r="AE50" s="369"/>
      <c r="AF50" s="369"/>
      <c r="AG50" s="369"/>
      <c r="AH50" s="369"/>
      <c r="AI50" s="369"/>
      <c r="AJ50" s="369"/>
      <c r="AK50" s="369"/>
      <c r="AL50" s="369"/>
      <c r="AM50" s="369"/>
      <c r="AN50" s="369"/>
      <c r="AO50" s="369"/>
      <c r="AP50" s="369"/>
      <c r="AQ50" s="369"/>
      <c r="AR50" s="369"/>
      <c r="AS50" s="369"/>
      <c r="AT50" s="369"/>
      <c r="AU50" s="369"/>
    </row>
    <row r="51" spans="1:47" s="352" customFormat="1">
      <c r="A51" s="280"/>
      <c r="B51" s="358" t="s">
        <v>503</v>
      </c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388"/>
      <c r="R51" s="369"/>
      <c r="S51" s="369"/>
      <c r="T51" s="369"/>
      <c r="U51" s="369"/>
      <c r="V51" s="369"/>
      <c r="W51" s="369"/>
      <c r="X51" s="369"/>
      <c r="Y51" s="369"/>
      <c r="Z51" s="369"/>
      <c r="AA51" s="369"/>
      <c r="AB51" s="369"/>
      <c r="AC51" s="369"/>
      <c r="AD51" s="369"/>
      <c r="AE51" s="369"/>
      <c r="AF51" s="369"/>
      <c r="AG51" s="369"/>
      <c r="AH51" s="369"/>
      <c r="AI51" s="369"/>
      <c r="AJ51" s="369"/>
      <c r="AK51" s="369"/>
      <c r="AL51" s="369"/>
      <c r="AM51" s="369"/>
      <c r="AN51" s="369"/>
      <c r="AO51" s="369"/>
      <c r="AP51" s="369"/>
      <c r="AQ51" s="369"/>
      <c r="AR51" s="369"/>
      <c r="AS51" s="369"/>
      <c r="AT51" s="369"/>
      <c r="AU51" s="369"/>
    </row>
    <row r="52" spans="1:47" s="352" customFormat="1">
      <c r="A52" s="382" t="s">
        <v>265</v>
      </c>
      <c r="B52" s="383" t="s">
        <v>492</v>
      </c>
      <c r="C52" s="359" t="s">
        <v>398</v>
      </c>
      <c r="D52" s="359" t="s">
        <v>382</v>
      </c>
      <c r="E52" s="359" t="s">
        <v>392</v>
      </c>
      <c r="F52" s="359" t="s">
        <v>393</v>
      </c>
      <c r="G52" s="359" t="s">
        <v>399</v>
      </c>
      <c r="H52" s="359" t="s">
        <v>398</v>
      </c>
      <c r="I52" s="359" t="s">
        <v>382</v>
      </c>
      <c r="J52" s="359" t="s">
        <v>392</v>
      </c>
      <c r="K52" s="359" t="s">
        <v>393</v>
      </c>
      <c r="L52" s="359" t="s">
        <v>399</v>
      </c>
      <c r="M52" s="359" t="s">
        <v>398</v>
      </c>
      <c r="N52" s="359" t="s">
        <v>382</v>
      </c>
      <c r="O52" s="359" t="s">
        <v>392</v>
      </c>
      <c r="P52" s="359" t="s">
        <v>393</v>
      </c>
      <c r="Q52" s="359" t="s">
        <v>399</v>
      </c>
      <c r="R52" s="366"/>
      <c r="S52" s="366"/>
      <c r="T52" s="366"/>
      <c r="U52" s="366"/>
      <c r="V52" s="366"/>
      <c r="W52" s="366"/>
      <c r="X52" s="366"/>
      <c r="Y52" s="366"/>
      <c r="Z52" s="366"/>
      <c r="AA52" s="366"/>
      <c r="AB52" s="366"/>
      <c r="AC52" s="366"/>
      <c r="AD52" s="366"/>
      <c r="AE52" s="366"/>
      <c r="AF52" s="366"/>
      <c r="AG52" s="366"/>
      <c r="AH52" s="366"/>
      <c r="AI52" s="366"/>
      <c r="AJ52" s="366"/>
      <c r="AK52" s="366"/>
      <c r="AL52" s="366"/>
      <c r="AM52" s="366"/>
      <c r="AN52" s="366"/>
      <c r="AO52" s="366"/>
      <c r="AP52" s="366"/>
      <c r="AQ52" s="366"/>
      <c r="AR52" s="366"/>
      <c r="AS52" s="366"/>
      <c r="AT52" s="366"/>
      <c r="AU52" s="366"/>
    </row>
    <row r="53" spans="1:47" s="352" customFormat="1">
      <c r="A53" s="281"/>
      <c r="B53" s="361"/>
      <c r="C53" s="354">
        <f>SUM(D53:G53)</f>
        <v>0</v>
      </c>
      <c r="D53" s="355"/>
      <c r="E53" s="355"/>
      <c r="F53" s="355"/>
      <c r="G53" s="355"/>
      <c r="H53" s="354">
        <f>SUM(I53:L53)</f>
        <v>0</v>
      </c>
      <c r="I53" s="355"/>
      <c r="J53" s="355"/>
      <c r="K53" s="355"/>
      <c r="L53" s="355"/>
      <c r="M53" s="354">
        <f>SUM(N53:Q53)</f>
        <v>0</v>
      </c>
      <c r="N53" s="355"/>
      <c r="O53" s="355"/>
      <c r="P53" s="355"/>
      <c r="Q53" s="355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7"/>
      <c r="AE53" s="367"/>
      <c r="AF53" s="367"/>
      <c r="AG53" s="367"/>
      <c r="AH53" s="367"/>
      <c r="AI53" s="367"/>
      <c r="AJ53" s="367"/>
      <c r="AK53" s="367"/>
      <c r="AL53" s="367"/>
      <c r="AM53" s="367"/>
      <c r="AN53" s="367"/>
      <c r="AO53" s="367"/>
      <c r="AP53" s="367"/>
      <c r="AQ53" s="367"/>
      <c r="AR53" s="367"/>
      <c r="AS53" s="367"/>
      <c r="AT53" s="367"/>
      <c r="AU53" s="367"/>
    </row>
    <row r="54" spans="1:47" s="352" customFormat="1">
      <c r="A54" s="281"/>
      <c r="B54" s="281"/>
      <c r="C54" s="354">
        <f>SUM(D54:G54)</f>
        <v>0</v>
      </c>
      <c r="D54" s="355"/>
      <c r="E54" s="355"/>
      <c r="F54" s="355"/>
      <c r="G54" s="355"/>
      <c r="H54" s="354">
        <f>SUM(I54:L54)</f>
        <v>0</v>
      </c>
      <c r="I54" s="355"/>
      <c r="J54" s="355"/>
      <c r="K54" s="355"/>
      <c r="L54" s="355"/>
      <c r="M54" s="354">
        <f>SUM(N54:Q54)</f>
        <v>0</v>
      </c>
      <c r="N54" s="355"/>
      <c r="O54" s="355"/>
      <c r="P54" s="355"/>
      <c r="Q54" s="355"/>
      <c r="R54" s="367"/>
      <c r="S54" s="367"/>
      <c r="T54" s="367"/>
      <c r="U54" s="367"/>
      <c r="V54" s="367"/>
      <c r="W54" s="367"/>
      <c r="X54" s="367"/>
      <c r="Y54" s="367"/>
      <c r="Z54" s="367"/>
      <c r="AA54" s="367"/>
      <c r="AB54" s="367"/>
      <c r="AC54" s="367"/>
      <c r="AD54" s="367"/>
      <c r="AE54" s="367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</row>
    <row r="55" spans="1:47" s="352" customFormat="1">
      <c r="A55" s="281"/>
      <c r="B55" s="281"/>
      <c r="C55" s="354">
        <f>SUM(D55:G55)</f>
        <v>0</v>
      </c>
      <c r="D55" s="355"/>
      <c r="E55" s="355"/>
      <c r="F55" s="355"/>
      <c r="G55" s="355"/>
      <c r="H55" s="354">
        <f>SUM(I55:L55)</f>
        <v>0</v>
      </c>
      <c r="I55" s="355"/>
      <c r="J55" s="355"/>
      <c r="K55" s="355"/>
      <c r="L55" s="355"/>
      <c r="M55" s="354">
        <f>SUM(N55:Q55)</f>
        <v>0</v>
      </c>
      <c r="N55" s="355"/>
      <c r="O55" s="355"/>
      <c r="P55" s="355"/>
      <c r="Q55" s="355"/>
      <c r="R55" s="367"/>
      <c r="S55" s="367"/>
      <c r="T55" s="367"/>
      <c r="U55" s="367"/>
      <c r="V55" s="367"/>
      <c r="W55" s="367"/>
      <c r="X55" s="367"/>
      <c r="Y55" s="367"/>
      <c r="Z55" s="367"/>
      <c r="AA55" s="367"/>
      <c r="AB55" s="367"/>
      <c r="AC55" s="367"/>
      <c r="AD55" s="367"/>
      <c r="AE55" s="367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</row>
    <row r="56" spans="1:47" s="352" customFormat="1">
      <c r="A56" s="384"/>
      <c r="B56" s="385"/>
      <c r="C56" s="375"/>
      <c r="D56" s="375"/>
      <c r="E56" s="375"/>
      <c r="F56" s="375"/>
      <c r="G56" s="375"/>
      <c r="H56" s="375"/>
      <c r="I56" s="375"/>
      <c r="J56" s="375"/>
      <c r="K56" s="375"/>
      <c r="L56" s="375"/>
      <c r="M56" s="375"/>
      <c r="N56" s="375"/>
      <c r="O56" s="375"/>
      <c r="P56" s="375"/>
      <c r="Q56" s="375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367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</row>
    <row r="57" spans="1:47" s="352" customFormat="1">
      <c r="A57" s="386"/>
      <c r="B57" s="387" t="s">
        <v>381</v>
      </c>
      <c r="C57" s="354">
        <f>SUM(C53:C55)</f>
        <v>0</v>
      </c>
      <c r="D57" s="354">
        <f>SUM(D53:D55)</f>
        <v>0</v>
      </c>
      <c r="E57" s="354">
        <f>SUM(E53:E55)</f>
        <v>0</v>
      </c>
      <c r="F57" s="354">
        <f>SUM(F53:F55)</f>
        <v>0</v>
      </c>
      <c r="G57" s="354">
        <f>SUM(G53:G55)</f>
        <v>0</v>
      </c>
      <c r="H57" s="354">
        <f t="shared" ref="H57:Q57" si="6">SUM(H53:H55)</f>
        <v>0</v>
      </c>
      <c r="I57" s="354">
        <f t="shared" si="6"/>
        <v>0</v>
      </c>
      <c r="J57" s="354">
        <f t="shared" si="6"/>
        <v>0</v>
      </c>
      <c r="K57" s="354">
        <f t="shared" si="6"/>
        <v>0</v>
      </c>
      <c r="L57" s="354">
        <f t="shared" si="6"/>
        <v>0</v>
      </c>
      <c r="M57" s="354">
        <f t="shared" si="6"/>
        <v>0</v>
      </c>
      <c r="N57" s="354">
        <f t="shared" si="6"/>
        <v>0</v>
      </c>
      <c r="O57" s="354">
        <f t="shared" si="6"/>
        <v>0</v>
      </c>
      <c r="P57" s="354">
        <f t="shared" si="6"/>
        <v>0</v>
      </c>
      <c r="Q57" s="354">
        <f t="shared" si="6"/>
        <v>0</v>
      </c>
      <c r="R57" s="367"/>
      <c r="S57" s="367"/>
      <c r="T57" s="367"/>
      <c r="U57" s="367"/>
      <c r="V57" s="367"/>
      <c r="W57" s="367"/>
      <c r="X57" s="367"/>
      <c r="Y57" s="367"/>
      <c r="Z57" s="367"/>
      <c r="AA57" s="367"/>
      <c r="AB57" s="367"/>
      <c r="AC57" s="367"/>
      <c r="AD57" s="367"/>
      <c r="AE57" s="367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</row>
    <row r="58" spans="1:47" s="352" customFormat="1">
      <c r="A58" s="1562" t="s">
        <v>588</v>
      </c>
      <c r="B58" s="1454"/>
      <c r="C58" s="1454"/>
      <c r="D58" s="1454"/>
      <c r="E58" s="1454"/>
      <c r="F58" s="1454"/>
      <c r="G58" s="1454"/>
      <c r="H58" s="1454"/>
      <c r="I58" s="1454"/>
      <c r="J58" s="1454"/>
      <c r="K58" s="1454"/>
      <c r="L58" s="1454"/>
      <c r="M58" s="1454"/>
      <c r="N58" s="1454"/>
      <c r="O58" s="1454"/>
      <c r="P58" s="1454"/>
      <c r="Q58" s="1563"/>
      <c r="R58" s="369"/>
      <c r="S58" s="369"/>
      <c r="T58" s="369"/>
      <c r="U58" s="369"/>
      <c r="V58" s="369"/>
      <c r="W58" s="369"/>
      <c r="X58" s="369"/>
      <c r="Y58" s="369"/>
      <c r="Z58" s="369"/>
      <c r="AA58" s="369"/>
      <c r="AB58" s="369"/>
      <c r="AC58" s="369"/>
      <c r="AD58" s="369"/>
      <c r="AE58" s="369"/>
      <c r="AF58" s="369"/>
      <c r="AG58" s="369"/>
      <c r="AH58" s="369"/>
      <c r="AI58" s="369"/>
      <c r="AJ58" s="369"/>
      <c r="AK58" s="369"/>
      <c r="AL58" s="369"/>
      <c r="AM58" s="369"/>
      <c r="AN58" s="369"/>
      <c r="AO58" s="369"/>
      <c r="AP58" s="369"/>
      <c r="AQ58" s="369"/>
      <c r="AR58" s="369"/>
      <c r="AS58" s="369"/>
      <c r="AT58" s="369"/>
      <c r="AU58" s="369"/>
    </row>
    <row r="59" spans="1:47" s="352" customFormat="1">
      <c r="A59" s="1454"/>
      <c r="B59" s="1454"/>
      <c r="C59" s="1454"/>
      <c r="D59" s="1454"/>
      <c r="E59" s="1454"/>
      <c r="F59" s="1454"/>
      <c r="G59" s="1454"/>
      <c r="H59" s="1454"/>
      <c r="I59" s="1454"/>
      <c r="J59" s="1454"/>
      <c r="K59" s="1454"/>
      <c r="L59" s="1454"/>
      <c r="M59" s="1454"/>
      <c r="N59" s="1454"/>
      <c r="O59" s="1454"/>
      <c r="P59" s="1454"/>
      <c r="Q59" s="1563"/>
      <c r="R59" s="369"/>
      <c r="S59" s="369"/>
      <c r="T59" s="369"/>
      <c r="U59" s="369"/>
      <c r="V59" s="369"/>
      <c r="W59" s="369"/>
      <c r="X59" s="369"/>
      <c r="Y59" s="369"/>
      <c r="Z59" s="369"/>
      <c r="AA59" s="369"/>
      <c r="AB59" s="369"/>
      <c r="AC59" s="369"/>
      <c r="AD59" s="369"/>
      <c r="AE59" s="369"/>
      <c r="AF59" s="369"/>
      <c r="AG59" s="369"/>
      <c r="AH59" s="369"/>
      <c r="AI59" s="369"/>
      <c r="AJ59" s="369"/>
      <c r="AK59" s="369"/>
      <c r="AL59" s="369"/>
      <c r="AM59" s="369"/>
      <c r="AN59" s="369"/>
      <c r="AO59" s="369"/>
      <c r="AP59" s="369"/>
      <c r="AQ59" s="369"/>
      <c r="AR59" s="369"/>
      <c r="AS59" s="369"/>
      <c r="AT59" s="369"/>
      <c r="AU59" s="369"/>
    </row>
    <row r="60" spans="1:47" s="352" customFormat="1">
      <c r="A60" s="389" t="s">
        <v>265</v>
      </c>
      <c r="B60" s="383" t="s">
        <v>495</v>
      </c>
      <c r="C60" s="373" t="s">
        <v>398</v>
      </c>
      <c r="D60" s="373" t="s">
        <v>382</v>
      </c>
      <c r="E60" s="373" t="s">
        <v>392</v>
      </c>
      <c r="F60" s="373" t="s">
        <v>393</v>
      </c>
      <c r="G60" s="373" t="s">
        <v>399</v>
      </c>
      <c r="H60" s="373" t="s">
        <v>398</v>
      </c>
      <c r="I60" s="373" t="s">
        <v>382</v>
      </c>
      <c r="J60" s="373" t="s">
        <v>392</v>
      </c>
      <c r="K60" s="373" t="s">
        <v>393</v>
      </c>
      <c r="L60" s="373" t="s">
        <v>399</v>
      </c>
      <c r="M60" s="373" t="s">
        <v>398</v>
      </c>
      <c r="N60" s="373" t="s">
        <v>382</v>
      </c>
      <c r="O60" s="373" t="s">
        <v>392</v>
      </c>
      <c r="P60" s="373" t="s">
        <v>393</v>
      </c>
      <c r="Q60" s="373" t="s">
        <v>399</v>
      </c>
      <c r="R60" s="366"/>
      <c r="S60" s="366"/>
      <c r="T60" s="366"/>
      <c r="U60" s="366"/>
      <c r="V60" s="366"/>
      <c r="W60" s="366"/>
      <c r="X60" s="366"/>
      <c r="Y60" s="366"/>
      <c r="Z60" s="366"/>
      <c r="AA60" s="366"/>
      <c r="AB60" s="366"/>
      <c r="AC60" s="366"/>
      <c r="AD60" s="366"/>
      <c r="AE60" s="366"/>
      <c r="AF60" s="366"/>
      <c r="AG60" s="366"/>
      <c r="AH60" s="366"/>
      <c r="AI60" s="366"/>
      <c r="AJ60" s="366"/>
      <c r="AK60" s="366"/>
      <c r="AL60" s="366"/>
      <c r="AM60" s="366"/>
      <c r="AN60" s="366"/>
      <c r="AO60" s="366"/>
      <c r="AP60" s="366"/>
      <c r="AQ60" s="366"/>
      <c r="AR60" s="366"/>
      <c r="AS60" s="366"/>
      <c r="AT60" s="366"/>
      <c r="AU60" s="366"/>
    </row>
    <row r="61" spans="1:47" s="352" customFormat="1">
      <c r="A61" s="253" t="s">
        <v>247</v>
      </c>
      <c r="B61" s="361" t="s">
        <v>504</v>
      </c>
      <c r="C61" s="364">
        <f>D61+E61+F61+G61</f>
        <v>3.9235755108155406</v>
      </c>
      <c r="D61" s="364">
        <f>D62+D63</f>
        <v>0</v>
      </c>
      <c r="E61" s="364">
        <f>E62+E63</f>
        <v>0</v>
      </c>
      <c r="F61" s="364">
        <f>F62+F63</f>
        <v>1.4422313512915266</v>
      </c>
      <c r="G61" s="364">
        <f>G62+G63</f>
        <v>2.481344159524014</v>
      </c>
      <c r="H61" s="364">
        <f>I61+J61+K61+L61</f>
        <v>2.9560903697076926</v>
      </c>
      <c r="I61" s="364">
        <f>I62+I63</f>
        <v>0</v>
      </c>
      <c r="J61" s="364">
        <f>J62+J63</f>
        <v>0</v>
      </c>
      <c r="K61" s="364">
        <f>K62+K63</f>
        <v>0.44851900516778259</v>
      </c>
      <c r="L61" s="364">
        <f>L62+L63</f>
        <v>2.5075713645399098</v>
      </c>
      <c r="M61" s="364">
        <f>N61+O61+P61+Q61</f>
        <v>4.0457262530413436</v>
      </c>
      <c r="N61" s="364">
        <f>N62+N63</f>
        <v>0</v>
      </c>
      <c r="O61" s="364">
        <f>O62+O63</f>
        <v>0</v>
      </c>
      <c r="P61" s="364">
        <f>P62+P63</f>
        <v>1.4871316289938321</v>
      </c>
      <c r="Q61" s="364">
        <f>Q62+Q63</f>
        <v>2.5585946240475117</v>
      </c>
      <c r="R61" s="370"/>
      <c r="S61" s="370"/>
      <c r="T61" s="370"/>
      <c r="U61" s="370"/>
      <c r="V61" s="370"/>
      <c r="W61" s="370"/>
      <c r="X61" s="370"/>
      <c r="Y61" s="370"/>
      <c r="Z61" s="370"/>
      <c r="AA61" s="370"/>
      <c r="AB61" s="370"/>
      <c r="AC61" s="370"/>
      <c r="AD61" s="370"/>
      <c r="AE61" s="370"/>
      <c r="AF61" s="370"/>
      <c r="AG61" s="370"/>
      <c r="AH61" s="370"/>
      <c r="AI61" s="370"/>
      <c r="AJ61" s="370"/>
      <c r="AK61" s="370"/>
      <c r="AL61" s="370"/>
      <c r="AM61" s="370"/>
      <c r="AN61" s="370"/>
      <c r="AO61" s="370"/>
      <c r="AP61" s="370"/>
      <c r="AQ61" s="370"/>
      <c r="AR61" s="370"/>
      <c r="AS61" s="370"/>
      <c r="AT61" s="370"/>
      <c r="AU61" s="370"/>
    </row>
    <row r="62" spans="1:47" s="352" customFormat="1">
      <c r="A62" s="253" t="s">
        <v>401</v>
      </c>
      <c r="B62" s="361" t="s">
        <v>496</v>
      </c>
      <c r="C62" s="364">
        <f t="shared" ref="C62:C72" si="7">D62+E62+F62+G62</f>
        <v>1.8860592038690343</v>
      </c>
      <c r="D62" s="355"/>
      <c r="E62" s="355"/>
      <c r="F62" s="881">
        <f>'1.4'!F61/5499</f>
        <v>1.4422313512915266</v>
      </c>
      <c r="G62" s="881">
        <f>'1.4'!G61/5499</f>
        <v>0.44382785257750762</v>
      </c>
      <c r="H62" s="364">
        <f t="shared" ref="H62:H72" si="8">I62+J62+K62+L62</f>
        <v>0.89703801033556518</v>
      </c>
      <c r="I62" s="355"/>
      <c r="J62" s="355"/>
      <c r="K62" s="881">
        <f>'1.4'!K61/5499</f>
        <v>0.44851900516778259</v>
      </c>
      <c r="L62" s="881">
        <f>'1.4'!L61/5499</f>
        <v>0.44851900516778259</v>
      </c>
      <c r="M62" s="364">
        <f t="shared" ref="M62:M72" si="9">N62+O62+P62+Q62</f>
        <v>1.944776955317769</v>
      </c>
      <c r="N62" s="355"/>
      <c r="O62" s="355"/>
      <c r="P62" s="881">
        <f>'1.4'!P61/5499</f>
        <v>1.4871316289938321</v>
      </c>
      <c r="Q62" s="881">
        <f>'1.4'!Q61/5499</f>
        <v>0.45764532632393695</v>
      </c>
      <c r="R62" s="370"/>
      <c r="S62" s="370"/>
      <c r="T62" s="367"/>
      <c r="U62" s="367"/>
      <c r="V62" s="367"/>
      <c r="W62" s="370"/>
      <c r="X62" s="367"/>
      <c r="Y62" s="367"/>
      <c r="Z62" s="367"/>
      <c r="AA62" s="367"/>
      <c r="AB62" s="370"/>
      <c r="AC62" s="367"/>
      <c r="AD62" s="367"/>
      <c r="AE62" s="367"/>
      <c r="AF62" s="367"/>
      <c r="AG62" s="370"/>
      <c r="AH62" s="367"/>
      <c r="AI62" s="367"/>
      <c r="AJ62" s="367"/>
      <c r="AK62" s="367"/>
      <c r="AL62" s="370"/>
      <c r="AM62" s="367"/>
      <c r="AN62" s="367"/>
      <c r="AO62" s="367"/>
      <c r="AP62" s="367"/>
      <c r="AQ62" s="370"/>
      <c r="AR62" s="367"/>
      <c r="AS62" s="367"/>
      <c r="AT62" s="367"/>
      <c r="AU62" s="367"/>
    </row>
    <row r="63" spans="1:47" s="352" customFormat="1">
      <c r="A63" s="253" t="s">
        <v>402</v>
      </c>
      <c r="B63" s="361" t="s">
        <v>497</v>
      </c>
      <c r="C63" s="364">
        <f t="shared" si="7"/>
        <v>2.0375163069465065</v>
      </c>
      <c r="D63" s="355"/>
      <c r="E63" s="355"/>
      <c r="F63" s="881"/>
      <c r="G63" s="881">
        <f>'1.4'!G62/5499</f>
        <v>2.0375163069465065</v>
      </c>
      <c r="H63" s="364">
        <f t="shared" si="8"/>
        <v>2.0590523593721271</v>
      </c>
      <c r="I63" s="355"/>
      <c r="J63" s="355"/>
      <c r="K63" s="881"/>
      <c r="L63" s="881">
        <f>'1.4'!L62/5499</f>
        <v>2.0590523593721271</v>
      </c>
      <c r="M63" s="364">
        <f t="shared" si="9"/>
        <v>2.1009492977235746</v>
      </c>
      <c r="N63" s="355"/>
      <c r="O63" s="355"/>
      <c r="P63" s="881"/>
      <c r="Q63" s="881">
        <f>'1.4'!Q62/5499</f>
        <v>2.1009492977235746</v>
      </c>
      <c r="R63" s="370"/>
      <c r="S63" s="370"/>
      <c r="T63" s="367"/>
      <c r="U63" s="367"/>
      <c r="V63" s="367"/>
      <c r="W63" s="370"/>
      <c r="X63" s="367"/>
      <c r="Y63" s="367"/>
      <c r="Z63" s="367"/>
      <c r="AA63" s="367"/>
      <c r="AB63" s="370"/>
      <c r="AC63" s="367"/>
      <c r="AD63" s="367"/>
      <c r="AE63" s="367"/>
      <c r="AF63" s="367"/>
      <c r="AG63" s="370"/>
      <c r="AH63" s="367"/>
      <c r="AI63" s="367"/>
      <c r="AJ63" s="367"/>
      <c r="AK63" s="367"/>
      <c r="AL63" s="370"/>
      <c r="AM63" s="367"/>
      <c r="AN63" s="367"/>
      <c r="AO63" s="367"/>
      <c r="AP63" s="367"/>
      <c r="AQ63" s="370"/>
      <c r="AR63" s="367"/>
      <c r="AS63" s="367"/>
      <c r="AT63" s="367"/>
      <c r="AU63" s="367"/>
    </row>
    <row r="64" spans="1:47" s="352" customFormat="1">
      <c r="A64" s="253" t="s">
        <v>243</v>
      </c>
      <c r="B64" s="361" t="s">
        <v>505</v>
      </c>
      <c r="C64" s="364">
        <f t="shared" si="7"/>
        <v>0</v>
      </c>
      <c r="D64" s="364">
        <f>D65+D66</f>
        <v>0</v>
      </c>
      <c r="E64" s="364">
        <f>E65+E66</f>
        <v>0</v>
      </c>
      <c r="F64" s="364">
        <f>F65+F66</f>
        <v>0</v>
      </c>
      <c r="G64" s="364">
        <f>G65+G66</f>
        <v>0</v>
      </c>
      <c r="H64" s="364">
        <f t="shared" si="8"/>
        <v>0</v>
      </c>
      <c r="I64" s="364">
        <f>I65+I66</f>
        <v>0</v>
      </c>
      <c r="J64" s="364">
        <f>J65+J66</f>
        <v>0</v>
      </c>
      <c r="K64" s="364">
        <f>K65+K66</f>
        <v>0</v>
      </c>
      <c r="L64" s="364">
        <f>L65+L66</f>
        <v>0</v>
      </c>
      <c r="M64" s="364">
        <f t="shared" si="9"/>
        <v>0</v>
      </c>
      <c r="N64" s="364">
        <f>N65+N66</f>
        <v>0</v>
      </c>
      <c r="O64" s="364">
        <f>O65+O66</f>
        <v>0</v>
      </c>
      <c r="P64" s="364">
        <f>P65+P66</f>
        <v>0</v>
      </c>
      <c r="Q64" s="364">
        <f>Q65+Q66</f>
        <v>0</v>
      </c>
      <c r="R64" s="370"/>
      <c r="S64" s="370"/>
      <c r="T64" s="370"/>
      <c r="U64" s="370"/>
      <c r="V64" s="370"/>
      <c r="W64" s="370"/>
      <c r="X64" s="370"/>
      <c r="Y64" s="370"/>
      <c r="Z64" s="370"/>
      <c r="AA64" s="370"/>
      <c r="AB64" s="370"/>
      <c r="AC64" s="370"/>
      <c r="AD64" s="370"/>
      <c r="AE64" s="370"/>
      <c r="AF64" s="370"/>
      <c r="AG64" s="370"/>
      <c r="AH64" s="370"/>
      <c r="AI64" s="370"/>
      <c r="AJ64" s="370"/>
      <c r="AK64" s="370"/>
      <c r="AL64" s="370"/>
      <c r="AM64" s="370"/>
      <c r="AN64" s="370"/>
      <c r="AO64" s="370"/>
      <c r="AP64" s="370"/>
      <c r="AQ64" s="370"/>
      <c r="AR64" s="370"/>
      <c r="AS64" s="370"/>
      <c r="AT64" s="370"/>
      <c r="AU64" s="370"/>
    </row>
    <row r="65" spans="1:47" s="352" customFormat="1">
      <c r="A65" s="253" t="s">
        <v>269</v>
      </c>
      <c r="B65" s="361" t="s">
        <v>496</v>
      </c>
      <c r="C65" s="364">
        <f t="shared" si="7"/>
        <v>0</v>
      </c>
      <c r="D65" s="355"/>
      <c r="E65" s="355"/>
      <c r="F65" s="355"/>
      <c r="G65" s="355"/>
      <c r="H65" s="364">
        <f t="shared" si="8"/>
        <v>0</v>
      </c>
      <c r="I65" s="355"/>
      <c r="J65" s="355"/>
      <c r="K65" s="355"/>
      <c r="L65" s="355"/>
      <c r="M65" s="364">
        <f t="shared" si="9"/>
        <v>0</v>
      </c>
      <c r="N65" s="355"/>
      <c r="O65" s="355"/>
      <c r="P65" s="355"/>
      <c r="Q65" s="355"/>
      <c r="R65" s="370"/>
      <c r="S65" s="370"/>
      <c r="T65" s="367"/>
      <c r="U65" s="367"/>
      <c r="V65" s="367"/>
      <c r="W65" s="370"/>
      <c r="X65" s="367"/>
      <c r="Y65" s="367"/>
      <c r="Z65" s="367"/>
      <c r="AA65" s="367"/>
      <c r="AB65" s="370"/>
      <c r="AC65" s="367"/>
      <c r="AD65" s="367"/>
      <c r="AE65" s="367"/>
      <c r="AF65" s="367"/>
      <c r="AG65" s="370"/>
      <c r="AH65" s="367"/>
      <c r="AI65" s="367"/>
      <c r="AJ65" s="367"/>
      <c r="AK65" s="367"/>
      <c r="AL65" s="370"/>
      <c r="AM65" s="367"/>
      <c r="AN65" s="367"/>
      <c r="AO65" s="367"/>
      <c r="AP65" s="367"/>
      <c r="AQ65" s="370"/>
      <c r="AR65" s="367"/>
      <c r="AS65" s="367"/>
      <c r="AT65" s="367"/>
      <c r="AU65" s="367"/>
    </row>
    <row r="66" spans="1:47" s="352" customFormat="1">
      <c r="A66" s="253" t="s">
        <v>272</v>
      </c>
      <c r="B66" s="361" t="s">
        <v>497</v>
      </c>
      <c r="C66" s="364">
        <f t="shared" si="7"/>
        <v>0</v>
      </c>
      <c r="D66" s="355"/>
      <c r="E66" s="355"/>
      <c r="F66" s="355"/>
      <c r="G66" s="355"/>
      <c r="H66" s="364">
        <f t="shared" si="8"/>
        <v>0</v>
      </c>
      <c r="I66" s="355"/>
      <c r="J66" s="355"/>
      <c r="K66" s="355"/>
      <c r="L66" s="355"/>
      <c r="M66" s="364">
        <f t="shared" si="9"/>
        <v>0</v>
      </c>
      <c r="N66" s="355"/>
      <c r="O66" s="355"/>
      <c r="P66" s="355"/>
      <c r="Q66" s="355"/>
      <c r="R66" s="370"/>
      <c r="S66" s="370"/>
      <c r="T66" s="367"/>
      <c r="U66" s="367"/>
      <c r="V66" s="367"/>
      <c r="W66" s="370"/>
      <c r="X66" s="367"/>
      <c r="Y66" s="367"/>
      <c r="Z66" s="367"/>
      <c r="AA66" s="367"/>
      <c r="AB66" s="370"/>
      <c r="AC66" s="367"/>
      <c r="AD66" s="367"/>
      <c r="AE66" s="367"/>
      <c r="AF66" s="367"/>
      <c r="AG66" s="370"/>
      <c r="AH66" s="367"/>
      <c r="AI66" s="367"/>
      <c r="AJ66" s="367"/>
      <c r="AK66" s="367"/>
      <c r="AL66" s="370"/>
      <c r="AM66" s="367"/>
      <c r="AN66" s="367"/>
      <c r="AO66" s="367"/>
      <c r="AP66" s="367"/>
      <c r="AQ66" s="370"/>
      <c r="AR66" s="367"/>
      <c r="AS66" s="367"/>
      <c r="AT66" s="367"/>
      <c r="AU66" s="367"/>
    </row>
    <row r="67" spans="1:47" s="352" customFormat="1">
      <c r="A67" s="253" t="s">
        <v>248</v>
      </c>
      <c r="B67" s="361" t="s">
        <v>498</v>
      </c>
      <c r="C67" s="364">
        <f t="shared" si="7"/>
        <v>0</v>
      </c>
      <c r="D67" s="364">
        <f>D68+D69</f>
        <v>0</v>
      </c>
      <c r="E67" s="364">
        <f>E68+E69</f>
        <v>0</v>
      </c>
      <c r="F67" s="364">
        <f>F68+F69</f>
        <v>0</v>
      </c>
      <c r="G67" s="364">
        <f>G68+G69</f>
        <v>0</v>
      </c>
      <c r="H67" s="364">
        <f t="shared" si="8"/>
        <v>0</v>
      </c>
      <c r="I67" s="364">
        <f>I68+I69</f>
        <v>0</v>
      </c>
      <c r="J67" s="364">
        <f>J68+J69</f>
        <v>0</v>
      </c>
      <c r="K67" s="364">
        <f>K68+K69</f>
        <v>0</v>
      </c>
      <c r="L67" s="364">
        <f>L68+L69</f>
        <v>0</v>
      </c>
      <c r="M67" s="364">
        <f t="shared" si="9"/>
        <v>0</v>
      </c>
      <c r="N67" s="364">
        <f>N68+N69</f>
        <v>0</v>
      </c>
      <c r="O67" s="364">
        <f>O68+O69</f>
        <v>0</v>
      </c>
      <c r="P67" s="364">
        <f>P68+P69</f>
        <v>0</v>
      </c>
      <c r="Q67" s="364">
        <f>Q68+Q69</f>
        <v>0</v>
      </c>
      <c r="R67" s="370"/>
      <c r="S67" s="370"/>
      <c r="T67" s="370"/>
      <c r="U67" s="370"/>
      <c r="V67" s="370"/>
      <c r="W67" s="370"/>
      <c r="X67" s="370"/>
      <c r="Y67" s="370"/>
      <c r="Z67" s="370"/>
      <c r="AA67" s="370"/>
      <c r="AB67" s="370"/>
      <c r="AC67" s="370"/>
      <c r="AD67" s="370"/>
      <c r="AE67" s="370"/>
      <c r="AF67" s="370"/>
      <c r="AG67" s="370"/>
      <c r="AH67" s="370"/>
      <c r="AI67" s="370"/>
      <c r="AJ67" s="370"/>
      <c r="AK67" s="370"/>
      <c r="AL67" s="370"/>
      <c r="AM67" s="370"/>
      <c r="AN67" s="370"/>
      <c r="AO67" s="370"/>
      <c r="AP67" s="370"/>
      <c r="AQ67" s="370"/>
      <c r="AR67" s="370"/>
      <c r="AS67" s="370"/>
      <c r="AT67" s="370"/>
      <c r="AU67" s="370"/>
    </row>
    <row r="68" spans="1:47" s="352" customFormat="1">
      <c r="A68" s="253" t="s">
        <v>412</v>
      </c>
      <c r="B68" s="361" t="s">
        <v>496</v>
      </c>
      <c r="C68" s="364">
        <f t="shared" si="7"/>
        <v>0</v>
      </c>
      <c r="D68" s="355"/>
      <c r="E68" s="355"/>
      <c r="F68" s="355"/>
      <c r="G68" s="355"/>
      <c r="H68" s="364">
        <f t="shared" si="8"/>
        <v>0</v>
      </c>
      <c r="I68" s="355"/>
      <c r="J68" s="355"/>
      <c r="K68" s="355"/>
      <c r="L68" s="355"/>
      <c r="M68" s="364">
        <f t="shared" si="9"/>
        <v>0</v>
      </c>
      <c r="N68" s="355"/>
      <c r="O68" s="355"/>
      <c r="P68" s="355"/>
      <c r="Q68" s="355"/>
      <c r="R68" s="370"/>
      <c r="S68" s="370"/>
      <c r="T68" s="367"/>
      <c r="U68" s="367"/>
      <c r="V68" s="367"/>
      <c r="W68" s="370"/>
      <c r="X68" s="367"/>
      <c r="Y68" s="367"/>
      <c r="Z68" s="367"/>
      <c r="AA68" s="367"/>
      <c r="AB68" s="370"/>
      <c r="AC68" s="367"/>
      <c r="AD68" s="367"/>
      <c r="AE68" s="367"/>
      <c r="AF68" s="367"/>
      <c r="AG68" s="370"/>
      <c r="AH68" s="367"/>
      <c r="AI68" s="367"/>
      <c r="AJ68" s="367"/>
      <c r="AK68" s="367"/>
      <c r="AL68" s="370"/>
      <c r="AM68" s="367"/>
      <c r="AN68" s="367"/>
      <c r="AO68" s="367"/>
      <c r="AP68" s="367"/>
      <c r="AQ68" s="370"/>
      <c r="AR68" s="367"/>
      <c r="AS68" s="367"/>
      <c r="AT68" s="367"/>
      <c r="AU68" s="367"/>
    </row>
    <row r="69" spans="1:47" s="352" customFormat="1">
      <c r="A69" s="253" t="s">
        <v>413</v>
      </c>
      <c r="B69" s="361" t="s">
        <v>497</v>
      </c>
      <c r="C69" s="364">
        <f t="shared" si="7"/>
        <v>0</v>
      </c>
      <c r="D69" s="355"/>
      <c r="E69" s="355"/>
      <c r="F69" s="355"/>
      <c r="G69" s="355"/>
      <c r="H69" s="364">
        <f t="shared" si="8"/>
        <v>0</v>
      </c>
      <c r="I69" s="355"/>
      <c r="J69" s="355"/>
      <c r="K69" s="355"/>
      <c r="L69" s="355"/>
      <c r="M69" s="364">
        <f t="shared" si="9"/>
        <v>0</v>
      </c>
      <c r="N69" s="355"/>
      <c r="O69" s="355"/>
      <c r="P69" s="355"/>
      <c r="Q69" s="355"/>
      <c r="R69" s="370"/>
      <c r="S69" s="370"/>
      <c r="T69" s="367"/>
      <c r="U69" s="367"/>
      <c r="V69" s="367"/>
      <c r="W69" s="370"/>
      <c r="X69" s="367"/>
      <c r="Y69" s="367"/>
      <c r="Z69" s="367"/>
      <c r="AA69" s="367"/>
      <c r="AB69" s="370"/>
      <c r="AC69" s="367"/>
      <c r="AD69" s="367"/>
      <c r="AE69" s="367"/>
      <c r="AF69" s="367"/>
      <c r="AG69" s="370"/>
      <c r="AH69" s="367"/>
      <c r="AI69" s="367"/>
      <c r="AJ69" s="367"/>
      <c r="AK69" s="367"/>
      <c r="AL69" s="370"/>
      <c r="AM69" s="367"/>
      <c r="AN69" s="367"/>
      <c r="AO69" s="367"/>
      <c r="AP69" s="367"/>
      <c r="AQ69" s="370"/>
      <c r="AR69" s="367"/>
      <c r="AS69" s="367"/>
      <c r="AT69" s="367"/>
      <c r="AU69" s="367"/>
    </row>
    <row r="70" spans="1:47" s="352" customFormat="1">
      <c r="A70" s="253" t="s">
        <v>250</v>
      </c>
      <c r="B70" s="361" t="s">
        <v>586</v>
      </c>
      <c r="C70" s="364">
        <f t="shared" si="7"/>
        <v>0.14453664302600472</v>
      </c>
      <c r="D70" s="364">
        <f>D71+D72</f>
        <v>0</v>
      </c>
      <c r="E70" s="364">
        <f>E71+E72</f>
        <v>0</v>
      </c>
      <c r="F70" s="364">
        <f>F71+F72</f>
        <v>9.9010547372249486E-2</v>
      </c>
      <c r="G70" s="364">
        <f>G71+G72</f>
        <v>4.5526095653755233E-2</v>
      </c>
      <c r="H70" s="364">
        <f t="shared" si="8"/>
        <v>0.14606436023298802</v>
      </c>
      <c r="I70" s="364">
        <f>I71+I72</f>
        <v>0</v>
      </c>
      <c r="J70" s="364">
        <f>J71+J72</f>
        <v>0</v>
      </c>
      <c r="K70" s="364">
        <f>K71+K72</f>
        <v>0.10005706480704425</v>
      </c>
      <c r="L70" s="364">
        <f>L71+L72</f>
        <v>4.600729542594377E-2</v>
      </c>
      <c r="M70" s="364">
        <f t="shared" si="9"/>
        <v>0.14903643108304221</v>
      </c>
      <c r="N70" s="364">
        <f>N71+N72</f>
        <v>0</v>
      </c>
      <c r="O70" s="364">
        <f>O71+O72</f>
        <v>0</v>
      </c>
      <c r="P70" s="364">
        <f>P71+P72</f>
        <v>0.10209299393568762</v>
      </c>
      <c r="Q70" s="364">
        <f>Q71+Q72</f>
        <v>4.6943437147354578E-2</v>
      </c>
      <c r="R70" s="370"/>
      <c r="S70" s="370"/>
      <c r="T70" s="370"/>
      <c r="U70" s="370"/>
      <c r="V70" s="370"/>
      <c r="W70" s="370"/>
      <c r="X70" s="370"/>
      <c r="Y70" s="370"/>
      <c r="Z70" s="370"/>
      <c r="AA70" s="370"/>
      <c r="AB70" s="370"/>
      <c r="AC70" s="370"/>
      <c r="AD70" s="370"/>
      <c r="AE70" s="370"/>
      <c r="AF70" s="370"/>
      <c r="AG70" s="370"/>
      <c r="AH70" s="370"/>
      <c r="AI70" s="370"/>
      <c r="AJ70" s="370"/>
      <c r="AK70" s="370"/>
      <c r="AL70" s="370"/>
      <c r="AM70" s="370"/>
      <c r="AN70" s="370"/>
      <c r="AO70" s="370"/>
      <c r="AP70" s="370"/>
      <c r="AQ70" s="370"/>
      <c r="AR70" s="370"/>
      <c r="AS70" s="370"/>
      <c r="AT70" s="370"/>
      <c r="AU70" s="370"/>
    </row>
    <row r="71" spans="1:47" s="352" customFormat="1">
      <c r="A71" s="253" t="s">
        <v>406</v>
      </c>
      <c r="B71" s="361" t="s">
        <v>496</v>
      </c>
      <c r="C71" s="364">
        <f t="shared" si="7"/>
        <v>0.14453664302600472</v>
      </c>
      <c r="D71" s="355"/>
      <c r="E71" s="355"/>
      <c r="F71" s="881">
        <f>'1.4'!F70/5499</f>
        <v>9.9010547372249486E-2</v>
      </c>
      <c r="G71" s="881">
        <f>'1.4'!G70/5499</f>
        <v>4.5526095653755233E-2</v>
      </c>
      <c r="H71" s="364">
        <f t="shared" si="8"/>
        <v>0.14606436023298802</v>
      </c>
      <c r="I71" s="355"/>
      <c r="J71" s="355"/>
      <c r="K71" s="881">
        <f>'1.4'!K70/5499</f>
        <v>0.10005706480704425</v>
      </c>
      <c r="L71" s="881">
        <f>'1.4'!L70/5499</f>
        <v>4.600729542594377E-2</v>
      </c>
      <c r="M71" s="364">
        <f t="shared" si="9"/>
        <v>0.14903643108304221</v>
      </c>
      <c r="N71" s="355"/>
      <c r="O71" s="355"/>
      <c r="P71" s="881">
        <f>'1.4'!P70/5499</f>
        <v>0.10209299393568762</v>
      </c>
      <c r="Q71" s="881">
        <f>'1.4'!Q70/5499</f>
        <v>4.6943437147354578E-2</v>
      </c>
      <c r="R71" s="370"/>
      <c r="S71" s="370"/>
      <c r="T71" s="367"/>
      <c r="U71" s="367"/>
      <c r="V71" s="367"/>
      <c r="W71" s="370"/>
      <c r="X71" s="367"/>
      <c r="Y71" s="367"/>
      <c r="Z71" s="367"/>
      <c r="AA71" s="367"/>
      <c r="AB71" s="370"/>
      <c r="AC71" s="367"/>
      <c r="AD71" s="367"/>
      <c r="AE71" s="367"/>
      <c r="AF71" s="367"/>
      <c r="AG71" s="370"/>
      <c r="AH71" s="367"/>
      <c r="AI71" s="367"/>
      <c r="AJ71" s="367"/>
      <c r="AK71" s="367"/>
      <c r="AL71" s="370"/>
      <c r="AM71" s="367"/>
      <c r="AN71" s="367"/>
      <c r="AO71" s="367"/>
      <c r="AP71" s="367"/>
      <c r="AQ71" s="370"/>
      <c r="AR71" s="367"/>
      <c r="AS71" s="367"/>
      <c r="AT71" s="367"/>
      <c r="AU71" s="367"/>
    </row>
    <row r="72" spans="1:47" s="352" customFormat="1">
      <c r="A72" s="253" t="s">
        <v>407</v>
      </c>
      <c r="B72" s="361" t="s">
        <v>497</v>
      </c>
      <c r="C72" s="364">
        <f t="shared" si="7"/>
        <v>0</v>
      </c>
      <c r="D72" s="355"/>
      <c r="E72" s="355"/>
      <c r="F72" s="881"/>
      <c r="G72" s="881"/>
      <c r="H72" s="364">
        <f t="shared" si="8"/>
        <v>0</v>
      </c>
      <c r="I72" s="355"/>
      <c r="J72" s="355"/>
      <c r="K72" s="355"/>
      <c r="L72" s="355"/>
      <c r="M72" s="364">
        <f t="shared" si="9"/>
        <v>0</v>
      </c>
      <c r="N72" s="355"/>
      <c r="O72" s="355"/>
      <c r="P72" s="355"/>
      <c r="Q72" s="355"/>
      <c r="R72" s="370"/>
      <c r="S72" s="370"/>
      <c r="T72" s="367"/>
      <c r="U72" s="367"/>
      <c r="V72" s="367"/>
      <c r="W72" s="370"/>
      <c r="X72" s="367"/>
      <c r="Y72" s="367"/>
      <c r="Z72" s="367"/>
      <c r="AA72" s="367"/>
      <c r="AB72" s="370"/>
      <c r="AC72" s="367"/>
      <c r="AD72" s="367"/>
      <c r="AE72" s="367"/>
      <c r="AF72" s="367"/>
      <c r="AG72" s="370"/>
      <c r="AH72" s="367"/>
      <c r="AI72" s="367"/>
      <c r="AJ72" s="367"/>
      <c r="AK72" s="367"/>
      <c r="AL72" s="370"/>
      <c r="AM72" s="367"/>
      <c r="AN72" s="367"/>
      <c r="AO72" s="367"/>
      <c r="AP72" s="367"/>
      <c r="AQ72" s="370"/>
      <c r="AR72" s="367"/>
      <c r="AS72" s="367"/>
      <c r="AT72" s="367"/>
      <c r="AU72" s="367"/>
    </row>
    <row r="73" spans="1:47" s="352" customFormat="1">
      <c r="A73" s="1554"/>
      <c r="B73" s="1554"/>
      <c r="C73" s="374"/>
      <c r="D73" s="374"/>
      <c r="E73" s="374"/>
      <c r="F73" s="374"/>
      <c r="G73" s="374"/>
      <c r="H73" s="374"/>
      <c r="I73" s="374"/>
      <c r="J73" s="374"/>
      <c r="K73" s="374"/>
      <c r="L73" s="374"/>
      <c r="M73" s="374"/>
      <c r="N73" s="374"/>
      <c r="O73" s="374"/>
      <c r="P73" s="374"/>
      <c r="Q73" s="374"/>
      <c r="R73" s="365"/>
      <c r="S73" s="370"/>
      <c r="T73" s="365"/>
      <c r="U73" s="365"/>
      <c r="V73" s="365"/>
      <c r="W73" s="365"/>
      <c r="X73" s="365"/>
      <c r="Y73" s="365"/>
      <c r="Z73" s="365"/>
      <c r="AA73" s="365"/>
      <c r="AB73" s="365"/>
      <c r="AC73" s="365"/>
      <c r="AD73" s="365"/>
      <c r="AE73" s="365"/>
      <c r="AF73" s="365"/>
      <c r="AG73" s="365"/>
      <c r="AH73" s="365"/>
      <c r="AI73" s="365"/>
      <c r="AJ73" s="365"/>
      <c r="AK73" s="365"/>
      <c r="AL73" s="365"/>
      <c r="AM73" s="365"/>
      <c r="AN73" s="365"/>
      <c r="AO73" s="365"/>
      <c r="AP73" s="365"/>
      <c r="AQ73" s="365"/>
      <c r="AR73" s="365"/>
      <c r="AS73" s="365"/>
      <c r="AT73" s="365"/>
      <c r="AU73" s="365"/>
    </row>
    <row r="74" spans="1:47" s="352" customFormat="1">
      <c r="A74" s="390"/>
      <c r="B74" s="391" t="s">
        <v>499</v>
      </c>
      <c r="C74" s="364">
        <f>D74+E74+F74+G74</f>
        <v>4.068112153841545</v>
      </c>
      <c r="D74" s="364">
        <f>D75+D76</f>
        <v>0</v>
      </c>
      <c r="E74" s="364">
        <f>E75+E76</f>
        <v>0</v>
      </c>
      <c r="F74" s="364">
        <f>F75+F76</f>
        <v>1.5412418986637761</v>
      </c>
      <c r="G74" s="364">
        <f>G75+G76</f>
        <v>2.5268702551777693</v>
      </c>
      <c r="H74" s="364">
        <f>I74+J74+K74+L74</f>
        <v>3.1021547299406804</v>
      </c>
      <c r="I74" s="364">
        <f>I75+I76</f>
        <v>0</v>
      </c>
      <c r="J74" s="364">
        <f>J75+J76</f>
        <v>0</v>
      </c>
      <c r="K74" s="364">
        <f>K75+K76</f>
        <v>0.54857606997482689</v>
      </c>
      <c r="L74" s="364">
        <f>L75+L76</f>
        <v>2.5535786599658534</v>
      </c>
      <c r="M74" s="364">
        <f>N74+O74+P74+Q74</f>
        <v>4.1947626841243864</v>
      </c>
      <c r="N74" s="364">
        <f>N75+N76</f>
        <v>0</v>
      </c>
      <c r="O74" s="364">
        <f>O75+O76</f>
        <v>0</v>
      </c>
      <c r="P74" s="364">
        <f>P75+P76</f>
        <v>1.5892246229295197</v>
      </c>
      <c r="Q74" s="364">
        <f>Q75+Q76</f>
        <v>2.6055380611948662</v>
      </c>
      <c r="R74" s="370"/>
      <c r="S74" s="370"/>
      <c r="T74" s="370"/>
      <c r="U74" s="370"/>
      <c r="V74" s="370"/>
      <c r="W74" s="370"/>
      <c r="X74" s="370"/>
      <c r="Y74" s="370"/>
      <c r="Z74" s="370"/>
      <c r="AA74" s="370"/>
      <c r="AB74" s="370"/>
      <c r="AC74" s="370"/>
      <c r="AD74" s="370"/>
      <c r="AE74" s="370"/>
      <c r="AF74" s="370"/>
      <c r="AG74" s="370"/>
      <c r="AH74" s="370"/>
      <c r="AI74" s="370"/>
      <c r="AJ74" s="370"/>
      <c r="AK74" s="370"/>
      <c r="AL74" s="370"/>
      <c r="AM74" s="370"/>
      <c r="AN74" s="370"/>
      <c r="AO74" s="370"/>
      <c r="AP74" s="370"/>
      <c r="AQ74" s="370"/>
      <c r="AR74" s="370"/>
      <c r="AS74" s="370"/>
      <c r="AT74" s="370"/>
      <c r="AU74" s="370"/>
    </row>
    <row r="75" spans="1:47" s="352" customFormat="1">
      <c r="A75" s="390"/>
      <c r="B75" s="391" t="s">
        <v>496</v>
      </c>
      <c r="C75" s="364">
        <f>D75+E75+F75+G75</f>
        <v>2.0305958468950389</v>
      </c>
      <c r="D75" s="364">
        <f>D62+D65+D68+D71</f>
        <v>0</v>
      </c>
      <c r="E75" s="364">
        <f t="shared" ref="E75:G76" si="10">E62+E65+E68+E71</f>
        <v>0</v>
      </c>
      <c r="F75" s="364">
        <f t="shared" si="10"/>
        <v>1.5412418986637761</v>
      </c>
      <c r="G75" s="364">
        <f t="shared" si="10"/>
        <v>0.48935394823126288</v>
      </c>
      <c r="H75" s="364">
        <f>I75+J75+K75+L75</f>
        <v>1.0431023705685534</v>
      </c>
      <c r="I75" s="364">
        <f>I62+I65+I68+I71</f>
        <v>0</v>
      </c>
      <c r="J75" s="364">
        <f t="shared" ref="J75:L76" si="11">J62+J65+J68+J71</f>
        <v>0</v>
      </c>
      <c r="K75" s="364">
        <f t="shared" si="11"/>
        <v>0.54857606997482689</v>
      </c>
      <c r="L75" s="364">
        <f t="shared" si="11"/>
        <v>0.49452630059372638</v>
      </c>
      <c r="M75" s="364">
        <f>N75+O75+P75+Q75</f>
        <v>2.0938133864008113</v>
      </c>
      <c r="N75" s="364">
        <f>N62+N65+N68+N71</f>
        <v>0</v>
      </c>
      <c r="O75" s="364">
        <f t="shared" ref="O75:Q76" si="12">O62+O65+O68+O71</f>
        <v>0</v>
      </c>
      <c r="P75" s="364">
        <f t="shared" si="12"/>
        <v>1.5892246229295197</v>
      </c>
      <c r="Q75" s="364">
        <f t="shared" si="12"/>
        <v>0.50458876347129156</v>
      </c>
      <c r="R75" s="370"/>
      <c r="S75" s="370"/>
      <c r="T75" s="370"/>
      <c r="U75" s="370"/>
      <c r="V75" s="370"/>
      <c r="W75" s="370"/>
      <c r="X75" s="370"/>
      <c r="Y75" s="370"/>
      <c r="Z75" s="370"/>
      <c r="AA75" s="370"/>
      <c r="AB75" s="370"/>
      <c r="AC75" s="370"/>
      <c r="AD75" s="370"/>
      <c r="AE75" s="370"/>
      <c r="AF75" s="370"/>
      <c r="AG75" s="370"/>
      <c r="AH75" s="370"/>
      <c r="AI75" s="370"/>
      <c r="AJ75" s="370"/>
      <c r="AK75" s="370"/>
      <c r="AL75" s="370"/>
      <c r="AM75" s="370"/>
      <c r="AN75" s="370"/>
      <c r="AO75" s="370"/>
      <c r="AP75" s="370"/>
      <c r="AQ75" s="370"/>
      <c r="AR75" s="370"/>
      <c r="AS75" s="370"/>
      <c r="AT75" s="370"/>
      <c r="AU75" s="370"/>
    </row>
    <row r="76" spans="1:47" s="352" customFormat="1">
      <c r="A76" s="390"/>
      <c r="B76" s="391" t="s">
        <v>497</v>
      </c>
      <c r="C76" s="364">
        <f>D76+E76+F76+G76</f>
        <v>2.0375163069465065</v>
      </c>
      <c r="D76" s="364">
        <f>D63+D66+D69+D72</f>
        <v>0</v>
      </c>
      <c r="E76" s="364">
        <f t="shared" si="10"/>
        <v>0</v>
      </c>
      <c r="F76" s="364">
        <f t="shared" si="10"/>
        <v>0</v>
      </c>
      <c r="G76" s="364">
        <f t="shared" si="10"/>
        <v>2.0375163069465065</v>
      </c>
      <c r="H76" s="364">
        <f>I76+J76+K76+L76</f>
        <v>2.0590523593721271</v>
      </c>
      <c r="I76" s="364">
        <f>I63+I66+I69+I72</f>
        <v>0</v>
      </c>
      <c r="J76" s="364">
        <f t="shared" si="11"/>
        <v>0</v>
      </c>
      <c r="K76" s="364">
        <f t="shared" si="11"/>
        <v>0</v>
      </c>
      <c r="L76" s="364">
        <f t="shared" si="11"/>
        <v>2.0590523593721271</v>
      </c>
      <c r="M76" s="364">
        <f>N76+O76+P76+Q76</f>
        <v>2.1009492977235746</v>
      </c>
      <c r="N76" s="364">
        <f>N63+N66+N69+N72</f>
        <v>0</v>
      </c>
      <c r="O76" s="364">
        <f t="shared" si="12"/>
        <v>0</v>
      </c>
      <c r="P76" s="364">
        <f t="shared" si="12"/>
        <v>0</v>
      </c>
      <c r="Q76" s="364">
        <f t="shared" si="12"/>
        <v>2.1009492977235746</v>
      </c>
      <c r="R76" s="370"/>
      <c r="S76" s="370"/>
      <c r="T76" s="370"/>
      <c r="U76" s="370"/>
      <c r="V76" s="370"/>
      <c r="W76" s="370"/>
      <c r="X76" s="370"/>
      <c r="Y76" s="370"/>
      <c r="Z76" s="370"/>
      <c r="AA76" s="370"/>
      <c r="AB76" s="370"/>
      <c r="AC76" s="370"/>
      <c r="AD76" s="370"/>
      <c r="AE76" s="370"/>
      <c r="AF76" s="370"/>
      <c r="AG76" s="370"/>
      <c r="AH76" s="370"/>
      <c r="AI76" s="370"/>
      <c r="AJ76" s="370"/>
      <c r="AK76" s="370"/>
      <c r="AL76" s="370"/>
      <c r="AM76" s="370"/>
      <c r="AN76" s="370"/>
      <c r="AO76" s="370"/>
      <c r="AP76" s="370"/>
      <c r="AQ76" s="370"/>
      <c r="AR76" s="370"/>
      <c r="AS76" s="370"/>
      <c r="AT76" s="370"/>
      <c r="AU76" s="370"/>
    </row>
    <row r="77" spans="1:47">
      <c r="R77" s="371"/>
      <c r="S77" s="371"/>
      <c r="T77" s="371"/>
      <c r="U77" s="371"/>
      <c r="V77" s="371"/>
      <c r="W77" s="371"/>
      <c r="X77" s="371"/>
      <c r="Y77" s="371"/>
      <c r="Z77" s="371"/>
      <c r="AA77" s="371"/>
      <c r="AB77" s="371"/>
      <c r="AC77" s="371"/>
      <c r="AD77" s="371"/>
      <c r="AE77" s="371"/>
      <c r="AF77" s="371"/>
      <c r="AG77" s="371"/>
      <c r="AH77" s="371"/>
      <c r="AI77" s="371"/>
      <c r="AJ77" s="371"/>
      <c r="AK77" s="371"/>
      <c r="AL77" s="371"/>
      <c r="AM77" s="371"/>
      <c r="AN77" s="371"/>
      <c r="AO77" s="371"/>
      <c r="AP77" s="371"/>
      <c r="AQ77" s="371"/>
      <c r="AR77" s="371"/>
      <c r="AS77" s="371"/>
      <c r="AT77" s="371"/>
      <c r="AU77" s="371"/>
    </row>
    <row r="78" spans="1:47">
      <c r="R78" s="371"/>
      <c r="S78" s="371"/>
      <c r="T78" s="371"/>
      <c r="U78" s="371"/>
      <c r="V78" s="371"/>
      <c r="W78" s="371"/>
      <c r="X78" s="371"/>
      <c r="Y78" s="371"/>
      <c r="Z78" s="371"/>
      <c r="AA78" s="371"/>
      <c r="AB78" s="371"/>
      <c r="AC78" s="371"/>
      <c r="AD78" s="371"/>
      <c r="AE78" s="371"/>
      <c r="AF78" s="371"/>
      <c r="AG78" s="371"/>
      <c r="AH78" s="371"/>
      <c r="AI78" s="371"/>
      <c r="AJ78" s="371"/>
      <c r="AK78" s="371"/>
      <c r="AL78" s="371"/>
      <c r="AM78" s="371"/>
      <c r="AN78" s="371"/>
      <c r="AO78" s="371"/>
      <c r="AP78" s="371"/>
      <c r="AQ78" s="371"/>
      <c r="AR78" s="371"/>
      <c r="AS78" s="371"/>
      <c r="AT78" s="371"/>
      <c r="AU78" s="371"/>
    </row>
    <row r="79" spans="1:47">
      <c r="R79" s="371"/>
      <c r="S79" s="371"/>
      <c r="T79" s="371"/>
      <c r="U79" s="371"/>
      <c r="V79" s="371"/>
      <c r="W79" s="371"/>
      <c r="X79" s="371"/>
      <c r="Y79" s="371"/>
      <c r="Z79" s="371"/>
      <c r="AA79" s="371"/>
      <c r="AB79" s="371"/>
      <c r="AC79" s="371"/>
      <c r="AD79" s="371"/>
      <c r="AE79" s="371"/>
      <c r="AF79" s="371"/>
      <c r="AG79" s="371"/>
      <c r="AH79" s="371"/>
      <c r="AI79" s="371"/>
      <c r="AJ79" s="371"/>
      <c r="AK79" s="371"/>
      <c r="AL79" s="371"/>
      <c r="AM79" s="371"/>
      <c r="AN79" s="371"/>
      <c r="AO79" s="371"/>
      <c r="AP79" s="371"/>
      <c r="AQ79" s="371"/>
      <c r="AR79" s="371"/>
      <c r="AS79" s="371"/>
      <c r="AT79" s="371"/>
      <c r="AU79" s="371"/>
    </row>
    <row r="80" spans="1:47">
      <c r="R80" s="371"/>
      <c r="S80" s="371"/>
      <c r="T80" s="371"/>
      <c r="U80" s="371"/>
      <c r="V80" s="371"/>
      <c r="W80" s="371"/>
      <c r="X80" s="371"/>
      <c r="Y80" s="371"/>
      <c r="Z80" s="371"/>
      <c r="AA80" s="371"/>
      <c r="AB80" s="371"/>
      <c r="AC80" s="371"/>
      <c r="AD80" s="371"/>
      <c r="AE80" s="371"/>
      <c r="AF80" s="371"/>
      <c r="AG80" s="371"/>
      <c r="AH80" s="371"/>
      <c r="AI80" s="371"/>
      <c r="AJ80" s="371"/>
      <c r="AK80" s="371"/>
      <c r="AL80" s="371"/>
      <c r="AM80" s="371"/>
      <c r="AN80" s="371"/>
      <c r="AO80" s="371"/>
      <c r="AP80" s="371"/>
      <c r="AQ80" s="371"/>
      <c r="AR80" s="371"/>
      <c r="AS80" s="371"/>
      <c r="AT80" s="371"/>
      <c r="AU80" s="371"/>
    </row>
    <row r="90" spans="17:17">
      <c r="Q90" s="1277">
        <v>8</v>
      </c>
    </row>
  </sheetData>
  <protectedRanges>
    <protectedRange sqref="A42:A48 A53:B56" name="Диапазон1_2"/>
    <protectedRange sqref="A61:B63" name="Диапазон1_1_3"/>
    <protectedRange sqref="B42:B48" name="Диапазон1_1_1"/>
  </protectedRanges>
  <mergeCells count="7">
    <mergeCell ref="A73:B73"/>
    <mergeCell ref="A5:A6"/>
    <mergeCell ref="M5:Q5"/>
    <mergeCell ref="C5:G5"/>
    <mergeCell ref="H5:L5"/>
    <mergeCell ref="B5:B6"/>
    <mergeCell ref="A58:Q59"/>
  </mergeCells>
  <phoneticPr fontId="16" type="noConversion"/>
  <printOptions horizontalCentered="1"/>
  <pageMargins left="0.39370078740157483" right="0.27559055118110237" top="0.39370078740157483" bottom="0" header="0" footer="0"/>
  <pageSetup paperSize="9" scale="87" fitToHeight="0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tabColor rgb="FFFFC000"/>
    <pageSetUpPr fitToPage="1"/>
  </sheetPr>
  <dimension ref="A1:AC208"/>
  <sheetViews>
    <sheetView topLeftCell="A115" workbookViewId="0">
      <selection activeCell="P139" sqref="P139"/>
    </sheetView>
  </sheetViews>
  <sheetFormatPr defaultRowHeight="12.75"/>
  <cols>
    <col min="1" max="1" width="9.140625" style="677"/>
    <col min="2" max="2" width="53" style="677" customWidth="1"/>
    <col min="3" max="3" width="13" style="677" customWidth="1"/>
    <col min="4" max="8" width="15.5703125" style="677" customWidth="1"/>
    <col min="9" max="9" width="10.85546875" style="1061" customWidth="1"/>
    <col min="10" max="10" width="13" style="1061" customWidth="1"/>
    <col min="11" max="12" width="12" style="677" customWidth="1"/>
    <col min="13" max="15" width="9.5703125" style="677" customWidth="1"/>
    <col min="16" max="16" width="12" style="677" customWidth="1"/>
    <col min="17" max="17" width="52" customWidth="1"/>
    <col min="18" max="18" width="10.85546875" customWidth="1"/>
    <col min="19" max="19" width="18.7109375" customWidth="1"/>
    <col min="20" max="22" width="9.140625" customWidth="1"/>
    <col min="23" max="23" width="10.5703125" customWidth="1"/>
    <col min="24" max="24" width="9.140625" customWidth="1"/>
  </cols>
  <sheetData>
    <row r="1" spans="1:29">
      <c r="A1" s="680"/>
      <c r="B1" s="681" t="s">
        <v>1100</v>
      </c>
      <c r="C1" s="681"/>
      <c r="D1" s="682"/>
      <c r="E1" s="682"/>
      <c r="F1" s="682"/>
      <c r="G1" s="682"/>
      <c r="H1" s="682"/>
      <c r="I1" s="1031"/>
      <c r="J1" s="1031"/>
      <c r="K1" s="681"/>
      <c r="L1" s="681"/>
      <c r="M1" s="681"/>
      <c r="N1" s="681"/>
      <c r="O1" s="681"/>
    </row>
    <row r="2" spans="1:29">
      <c r="A2" s="683"/>
      <c r="B2" s="684" t="str">
        <f>'Реквизиты организации'!C8</f>
        <v>МУ МПЖКХ Гусь-Железный</v>
      </c>
      <c r="C2" s="733"/>
      <c r="D2" s="682"/>
      <c r="E2" s="682"/>
      <c r="F2" s="682"/>
      <c r="G2" s="682"/>
      <c r="H2" s="682"/>
      <c r="I2" s="1031"/>
      <c r="J2" s="1031"/>
      <c r="K2" s="681"/>
      <c r="L2" s="681"/>
      <c r="M2" s="681"/>
      <c r="N2" s="681"/>
      <c r="O2" s="681"/>
    </row>
    <row r="3" spans="1:29">
      <c r="A3" s="1564"/>
      <c r="B3" s="685" t="s">
        <v>14</v>
      </c>
      <c r="C3" s="685"/>
      <c r="D3" s="682"/>
      <c r="E3" s="682"/>
      <c r="F3" s="682"/>
      <c r="G3" s="682"/>
      <c r="H3" s="682"/>
      <c r="I3" s="1031"/>
      <c r="J3" s="1031"/>
      <c r="K3" s="686"/>
      <c r="L3" s="686"/>
      <c r="M3" s="681"/>
      <c r="N3" s="681"/>
      <c r="O3" s="681"/>
    </row>
    <row r="4" spans="1:29">
      <c r="A4" s="1564"/>
      <c r="B4" s="1"/>
      <c r="C4" s="1"/>
      <c r="D4" s="27"/>
      <c r="E4" s="27"/>
      <c r="F4" s="27"/>
      <c r="G4" s="27"/>
      <c r="H4" s="27"/>
      <c r="I4" s="1032"/>
      <c r="J4" s="1032"/>
      <c r="K4" s="1"/>
      <c r="L4" s="1"/>
      <c r="M4" s="1"/>
      <c r="N4" s="1"/>
      <c r="O4" s="1"/>
      <c r="Z4" t="s">
        <v>1512</v>
      </c>
      <c r="AA4" t="s">
        <v>1513</v>
      </c>
      <c r="AB4" t="s">
        <v>1514</v>
      </c>
      <c r="AC4" t="s">
        <v>1515</v>
      </c>
    </row>
    <row r="5" spans="1:29" ht="38.25">
      <c r="A5" s="206"/>
      <c r="B5" s="218" t="s">
        <v>242</v>
      </c>
      <c r="C5" s="218" t="s">
        <v>951</v>
      </c>
      <c r="D5" s="217" t="s">
        <v>910</v>
      </c>
      <c r="E5" s="217" t="s">
        <v>1421</v>
      </c>
      <c r="F5" s="217" t="s">
        <v>911</v>
      </c>
      <c r="G5" s="217" t="s">
        <v>1473</v>
      </c>
      <c r="H5" s="217" t="s">
        <v>1474</v>
      </c>
      <c r="I5" s="1033" t="s">
        <v>912</v>
      </c>
      <c r="J5" s="1346" t="s">
        <v>1422</v>
      </c>
      <c r="K5" s="737">
        <v>2020</v>
      </c>
      <c r="L5" s="1410" t="s">
        <v>1475</v>
      </c>
      <c r="M5" s="737">
        <v>2021</v>
      </c>
      <c r="N5" s="737">
        <v>2022</v>
      </c>
      <c r="O5" s="737">
        <v>2023</v>
      </c>
      <c r="P5" s="737">
        <v>2024</v>
      </c>
      <c r="Q5" s="877" t="s">
        <v>814</v>
      </c>
    </row>
    <row r="6" spans="1:29" ht="38.25" customHeight="1">
      <c r="A6" s="207"/>
      <c r="B6" s="325" t="s">
        <v>113</v>
      </c>
      <c r="C6" s="252">
        <v>0.01</v>
      </c>
      <c r="D6" s="252">
        <v>0.01</v>
      </c>
      <c r="E6" s="252"/>
      <c r="F6" s="252">
        <v>0.01</v>
      </c>
      <c r="G6" s="252">
        <v>0.01</v>
      </c>
      <c r="H6" s="252"/>
      <c r="I6" s="1301">
        <v>0.01</v>
      </c>
      <c r="J6" s="1347">
        <v>0.01</v>
      </c>
      <c r="K6" s="296">
        <v>0.01</v>
      </c>
      <c r="L6" s="296">
        <v>0.01</v>
      </c>
      <c r="M6" s="296">
        <v>0.04</v>
      </c>
      <c r="N6" s="296">
        <v>0.04</v>
      </c>
      <c r="O6" s="296">
        <v>0.04</v>
      </c>
      <c r="P6" s="296">
        <v>0.04</v>
      </c>
      <c r="Q6" s="4" t="s">
        <v>1466</v>
      </c>
    </row>
    <row r="7" spans="1:29" ht="26.25" customHeight="1">
      <c r="A7" s="207"/>
      <c r="B7" s="325" t="s">
        <v>22</v>
      </c>
      <c r="C7" s="253">
        <v>0.75</v>
      </c>
      <c r="D7" s="253">
        <v>0.75</v>
      </c>
      <c r="E7" s="253"/>
      <c r="F7" s="253">
        <v>0.75</v>
      </c>
      <c r="G7" s="253">
        <v>0.75</v>
      </c>
      <c r="H7" s="253"/>
      <c r="I7" s="557">
        <v>0.75</v>
      </c>
      <c r="J7" s="1348">
        <v>0.75</v>
      </c>
      <c r="K7" s="297">
        <v>0.75</v>
      </c>
      <c r="L7" s="297">
        <v>0.75</v>
      </c>
      <c r="M7" s="297">
        <v>0.75</v>
      </c>
      <c r="N7" s="297">
        <v>0.75</v>
      </c>
      <c r="O7" s="297">
        <v>0.75</v>
      </c>
      <c r="P7" s="297">
        <v>0.75</v>
      </c>
      <c r="Q7" s="4" t="s">
        <v>815</v>
      </c>
    </row>
    <row r="8" spans="1:29" ht="15.75" customHeight="1">
      <c r="A8" s="207"/>
      <c r="B8" s="325" t="s">
        <v>23</v>
      </c>
      <c r="C8" s="691"/>
      <c r="D8" s="691"/>
      <c r="E8" s="691">
        <v>1.0289999999999999</v>
      </c>
      <c r="F8" s="691">
        <v>1.0369999999999999</v>
      </c>
      <c r="G8" s="691">
        <v>1.0369999999999999</v>
      </c>
      <c r="H8" s="691">
        <v>1.0449999999999999</v>
      </c>
      <c r="I8" s="1034">
        <v>1.046</v>
      </c>
      <c r="J8" s="1349">
        <v>1.034</v>
      </c>
      <c r="K8" s="1327">
        <v>1.03</v>
      </c>
      <c r="L8" s="1327">
        <v>1.03</v>
      </c>
      <c r="M8" s="1327">
        <v>1.036</v>
      </c>
      <c r="N8" s="1327">
        <v>1.0389999999999999</v>
      </c>
      <c r="O8" s="1327">
        <v>1.04</v>
      </c>
      <c r="P8" s="1327">
        <v>1.04</v>
      </c>
      <c r="Q8" s="4" t="s">
        <v>1456</v>
      </c>
    </row>
    <row r="9" spans="1:29" ht="15.75" customHeight="1">
      <c r="A9" s="207"/>
      <c r="B9" s="326" t="s">
        <v>24</v>
      </c>
      <c r="C9" s="1035">
        <f t="shared" ref="C9:P9" si="0">SUM(C10:C13)</f>
        <v>839.93443000000002</v>
      </c>
      <c r="D9" s="1035">
        <f t="shared" si="0"/>
        <v>878.05848000000003</v>
      </c>
      <c r="E9" s="1035">
        <f t="shared" si="0"/>
        <v>1009.9793750000001</v>
      </c>
      <c r="F9" s="1035">
        <v>823.19529999999997</v>
      </c>
      <c r="G9" s="1035">
        <v>1018.458175</v>
      </c>
      <c r="H9" s="698">
        <f t="shared" si="0"/>
        <v>1017.0751750000001</v>
      </c>
      <c r="I9" s="1035">
        <v>847.05848000000003</v>
      </c>
      <c r="J9" s="1350">
        <v>1084.8198299999999</v>
      </c>
      <c r="K9" s="698">
        <v>1013.658175</v>
      </c>
      <c r="L9" s="698">
        <v>1013.658175</v>
      </c>
      <c r="M9" s="698">
        <f t="shared" si="0"/>
        <v>1017.0751750000001</v>
      </c>
      <c r="N9" s="698">
        <f t="shared" si="0"/>
        <v>1017.0751750000001</v>
      </c>
      <c r="O9" s="698">
        <f t="shared" si="0"/>
        <v>1017.0751750000001</v>
      </c>
      <c r="P9" s="698">
        <f t="shared" si="0"/>
        <v>1017.0751750000001</v>
      </c>
      <c r="Q9" s="4"/>
    </row>
    <row r="10" spans="1:29" ht="15.75" customHeight="1">
      <c r="A10" s="254"/>
      <c r="B10" s="239" t="s">
        <v>382</v>
      </c>
      <c r="C10" s="306"/>
      <c r="D10" s="306"/>
      <c r="E10" s="306">
        <f>'2.1'!G30+'2.2'!G35</f>
        <v>0</v>
      </c>
      <c r="F10" s="306">
        <v>0</v>
      </c>
      <c r="G10" s="306">
        <v>0</v>
      </c>
      <c r="H10" s="306">
        <f>'2.1'!J30+'2.2'!J35</f>
        <v>0</v>
      </c>
      <c r="I10" s="1036">
        <v>0</v>
      </c>
      <c r="J10" s="1351">
        <v>0</v>
      </c>
      <c r="K10" s="699">
        <v>0</v>
      </c>
      <c r="L10" s="699">
        <v>0</v>
      </c>
      <c r="M10" s="699">
        <f>'2.1'!V30+'2.2'!V35</f>
        <v>0</v>
      </c>
      <c r="N10" s="699">
        <f>'2.1'!Y30+'2.2'!Y35</f>
        <v>0</v>
      </c>
      <c r="O10" s="699">
        <f>'2.1'!AB30+'2.2'!AB35</f>
        <v>0</v>
      </c>
      <c r="P10" s="1380">
        <f>'2.1'!AE30+'2.2'!AE35</f>
        <v>0</v>
      </c>
      <c r="Q10" s="4"/>
    </row>
    <row r="11" spans="1:29" ht="15.75" customHeight="1">
      <c r="A11" s="254"/>
      <c r="B11" s="239" t="s">
        <v>392</v>
      </c>
      <c r="C11" s="306"/>
      <c r="D11" s="306"/>
      <c r="E11" s="306">
        <f>'2.1'!G42+'2.2'!G36</f>
        <v>0</v>
      </c>
      <c r="F11" s="306">
        <v>0</v>
      </c>
      <c r="G11" s="306">
        <v>0</v>
      </c>
      <c r="H11" s="306">
        <f>'2.1'!J42+'2.2'!J36</f>
        <v>0</v>
      </c>
      <c r="I11" s="1036">
        <v>0</v>
      </c>
      <c r="J11" s="1351">
        <v>0</v>
      </c>
      <c r="K11" s="699">
        <v>0</v>
      </c>
      <c r="L11" s="699">
        <v>0</v>
      </c>
      <c r="M11" s="699">
        <f>'2.1'!V42+'2.2'!V36</f>
        <v>0</v>
      </c>
      <c r="N11" s="699">
        <f>'2.1'!Y42+'2.2'!Y36</f>
        <v>0</v>
      </c>
      <c r="O11" s="699">
        <f>'2.1'!AB42+'2.2'!AB36</f>
        <v>0</v>
      </c>
      <c r="P11" s="1380">
        <f>'2.1'!AE42+'2.2'!AE36</f>
        <v>0</v>
      </c>
      <c r="Q11" s="4"/>
    </row>
    <row r="12" spans="1:29" ht="15.75" customHeight="1">
      <c r="A12" s="254"/>
      <c r="B12" s="239" t="s">
        <v>393</v>
      </c>
      <c r="C12" s="1036">
        <f>'[8]2.2'!$Y$37+'[8]2.1'!$Y$43</f>
        <v>439.69389999999999</v>
      </c>
      <c r="D12" s="1036">
        <v>475.8066</v>
      </c>
      <c r="E12" s="1036">
        <f>'2.1'!G43+'2.2'!G37</f>
        <v>610.95939999999996</v>
      </c>
      <c r="F12" s="1036">
        <v>368.39929999999998</v>
      </c>
      <c r="G12" s="1036">
        <v>619.20869999999991</v>
      </c>
      <c r="H12" s="1036">
        <f>'2.1'!J43+'2.2'!J37</f>
        <v>617.00220000000002</v>
      </c>
      <c r="I12" s="1036">
        <v>444.8066</v>
      </c>
      <c r="J12" s="1351">
        <v>682.90859999999998</v>
      </c>
      <c r="K12" s="699">
        <v>614.40869999999995</v>
      </c>
      <c r="L12" s="699">
        <v>614.40869999999995</v>
      </c>
      <c r="M12" s="699">
        <f>'2.1'!V43+'2.2'!V37</f>
        <v>617.00220000000002</v>
      </c>
      <c r="N12" s="699">
        <f>'2.1'!Y43+'2.2'!Y37</f>
        <v>617.00220000000002</v>
      </c>
      <c r="O12" s="699">
        <f>'2.1'!AB43+'2.2'!AB37</f>
        <v>617.00220000000002</v>
      </c>
      <c r="P12" s="699">
        <f>'2.1'!AE43+'2.2'!AE37</f>
        <v>617.00220000000002</v>
      </c>
      <c r="Q12" s="4"/>
    </row>
    <row r="13" spans="1:29" ht="15.75" customHeight="1">
      <c r="A13" s="254"/>
      <c r="B13" s="239" t="s">
        <v>399</v>
      </c>
      <c r="C13" s="1036">
        <f>'[8]2.1'!$Y$48</f>
        <v>400.24053000000004</v>
      </c>
      <c r="D13" s="1036">
        <v>402.25188000000003</v>
      </c>
      <c r="E13" s="1036">
        <f>'2.1'!G48</f>
        <v>399.01997500000016</v>
      </c>
      <c r="F13" s="1036">
        <v>454.79599999999999</v>
      </c>
      <c r="G13" s="1036">
        <v>399.24947500000013</v>
      </c>
      <c r="H13" s="1036">
        <f>'2.1'!J48</f>
        <v>400.07297500000004</v>
      </c>
      <c r="I13" s="1036">
        <v>402.25188000000003</v>
      </c>
      <c r="J13" s="1351">
        <v>401.91123000000005</v>
      </c>
      <c r="K13" s="255">
        <v>399.24947500000013</v>
      </c>
      <c r="L13" s="255">
        <v>399.24947500000013</v>
      </c>
      <c r="M13" s="255">
        <f>'2.1'!V48</f>
        <v>400.07297500000004</v>
      </c>
      <c r="N13" s="255">
        <f>'2.1'!Y48</f>
        <v>400.07297500000004</v>
      </c>
      <c r="O13" s="255">
        <f>'2.1'!AB48</f>
        <v>400.07297500000004</v>
      </c>
      <c r="P13" s="255">
        <f>'2.1'!AE48</f>
        <v>400.07297500000004</v>
      </c>
      <c r="Q13" s="4"/>
    </row>
    <row r="14" spans="1:29" ht="15.75" customHeight="1">
      <c r="A14" s="207"/>
      <c r="B14" s="208" t="s">
        <v>25</v>
      </c>
      <c r="C14" s="557"/>
      <c r="D14" s="557"/>
      <c r="E14" s="557"/>
      <c r="F14" s="557">
        <v>0</v>
      </c>
      <c r="G14" s="557">
        <v>0</v>
      </c>
      <c r="H14" s="557"/>
      <c r="I14" s="557">
        <v>2.8988479404583649E-2</v>
      </c>
      <c r="J14" s="1348">
        <v>0.23547560294617265</v>
      </c>
      <c r="K14" s="762">
        <v>0.19668027525088941</v>
      </c>
      <c r="L14" s="762">
        <v>0.19668027525088941</v>
      </c>
      <c r="M14" s="762">
        <f>(M9-K9)/K9</f>
        <v>3.3709588540535669E-3</v>
      </c>
      <c r="N14" s="762">
        <f>(N9-M9)/M9</f>
        <v>0</v>
      </c>
      <c r="O14" s="762">
        <f>(O9-N9)/N9</f>
        <v>0</v>
      </c>
      <c r="P14" s="762">
        <f>(P9-O9)/O9</f>
        <v>0</v>
      </c>
      <c r="Q14" s="4" t="s">
        <v>816</v>
      </c>
    </row>
    <row r="15" spans="1:29" ht="15.75" customHeight="1">
      <c r="A15" s="207"/>
      <c r="B15" s="209" t="s">
        <v>15</v>
      </c>
      <c r="C15" s="792"/>
      <c r="D15" s="792"/>
      <c r="E15" s="792"/>
      <c r="F15" s="792">
        <v>1.0266299999999999</v>
      </c>
      <c r="G15" s="792">
        <v>1.0580540474719669</v>
      </c>
      <c r="H15" s="792"/>
      <c r="I15" s="1037">
        <v>1.0580540474719669</v>
      </c>
      <c r="J15" s="1352"/>
      <c r="K15" s="216"/>
      <c r="L15" s="216">
        <v>1.170116157504999</v>
      </c>
      <c r="M15" s="216">
        <f>M8*(1+M7*M14)*(1-M6)</f>
        <v>0.99707446562841573</v>
      </c>
      <c r="N15" s="216">
        <f>N8*(1+N7*N14)*(1-N6)</f>
        <v>0.99743999999999988</v>
      </c>
      <c r="O15" s="256">
        <f>O8*(1+O7*O14)*(1-O6)</f>
        <v>0.99839999999999995</v>
      </c>
      <c r="P15" s="256">
        <f>P8*(1+P7*P14)*(1-P6)</f>
        <v>0.99839999999999995</v>
      </c>
      <c r="Q15" s="4"/>
    </row>
    <row r="16" spans="1:29" ht="33" customHeight="1">
      <c r="A16" s="207"/>
      <c r="B16" s="208" t="s">
        <v>26</v>
      </c>
      <c r="C16" s="257">
        <v>0.02</v>
      </c>
      <c r="D16" s="257">
        <v>0.02</v>
      </c>
      <c r="E16" s="257"/>
      <c r="F16" s="257">
        <v>0.02</v>
      </c>
      <c r="G16" s="257">
        <v>0.02</v>
      </c>
      <c r="H16" s="257"/>
      <c r="I16" s="1038">
        <v>0.02</v>
      </c>
      <c r="J16" s="1353">
        <v>0.02</v>
      </c>
      <c r="K16" s="327">
        <v>0.02</v>
      </c>
      <c r="L16" s="327">
        <v>0.02</v>
      </c>
      <c r="M16" s="327">
        <v>0.02</v>
      </c>
      <c r="N16" s="327">
        <v>0.02</v>
      </c>
      <c r="O16" s="327">
        <v>0.02</v>
      </c>
      <c r="P16" s="327">
        <v>0.02</v>
      </c>
      <c r="Q16" s="4"/>
    </row>
    <row r="17" spans="1:20" ht="15.75" customHeight="1">
      <c r="A17" s="207"/>
      <c r="B17" s="735" t="s">
        <v>83</v>
      </c>
      <c r="C17" s="305"/>
      <c r="D17" s="305"/>
      <c r="E17" s="305"/>
      <c r="F17" s="305"/>
      <c r="G17" s="305"/>
      <c r="H17" s="305"/>
      <c r="I17" s="1039"/>
      <c r="J17" s="1354"/>
      <c r="K17" s="324"/>
      <c r="L17" s="324"/>
      <c r="M17" s="324"/>
      <c r="N17" s="324"/>
      <c r="O17" s="324"/>
      <c r="P17" s="1381"/>
      <c r="Q17" s="4"/>
    </row>
    <row r="18" spans="1:20" s="1312" customFormat="1" ht="36.75" customHeight="1">
      <c r="A18" s="207"/>
      <c r="B18" s="1317" t="s">
        <v>1430</v>
      </c>
      <c r="C18" s="305"/>
      <c r="D18" s="305"/>
      <c r="E18" s="305"/>
      <c r="F18" s="305"/>
      <c r="G18" s="305">
        <v>17714.813176234897</v>
      </c>
      <c r="H18" s="305"/>
      <c r="I18" s="1039"/>
      <c r="J18" s="1354"/>
      <c r="K18" s="1340">
        <v>25545.44060696449</v>
      </c>
      <c r="L18" s="1340">
        <v>28557.878172924924</v>
      </c>
      <c r="M18" s="324">
        <f>K18*M15</f>
        <v>25470.706542431551</v>
      </c>
      <c r="N18" s="324">
        <f>M18*N15</f>
        <v>25405.501533682924</v>
      </c>
      <c r="O18" s="324">
        <f>N18*O15</f>
        <v>25364.852731229032</v>
      </c>
      <c r="P18" s="1381">
        <f>O18*P15</f>
        <v>25324.268966859065</v>
      </c>
      <c r="Q18" s="4" t="s">
        <v>1467</v>
      </c>
      <c r="R18" s="1328">
        <f>K18/I23</f>
        <v>1.025517926397745</v>
      </c>
    </row>
    <row r="19" spans="1:20" s="1312" customFormat="1" ht="15.75" customHeight="1">
      <c r="A19" s="207"/>
      <c r="B19" s="1317" t="s">
        <v>1429</v>
      </c>
      <c r="C19" s="305"/>
      <c r="D19" s="305"/>
      <c r="E19" s="305"/>
      <c r="F19" s="305"/>
      <c r="G19" s="305"/>
      <c r="H19" s="305"/>
      <c r="I19" s="1039"/>
      <c r="J19" s="1354"/>
      <c r="K19" s="1340">
        <v>21479.50939339945</v>
      </c>
      <c r="L19" s="1340">
        <v>21479.509393399501</v>
      </c>
      <c r="M19" s="324"/>
      <c r="N19" s="324"/>
      <c r="O19" s="324"/>
      <c r="P19" s="1381"/>
      <c r="Q19" s="4" t="s">
        <v>1466</v>
      </c>
    </row>
    <row r="20" spans="1:20" s="1320" customFormat="1" ht="15.75" customHeight="1">
      <c r="A20" s="207"/>
      <c r="B20" s="1317" t="s">
        <v>1435</v>
      </c>
      <c r="C20" s="305"/>
      <c r="D20" s="305"/>
      <c r="E20" s="305"/>
      <c r="F20" s="305"/>
      <c r="G20" s="305"/>
      <c r="H20" s="305"/>
      <c r="I20" s="1039"/>
      <c r="J20" s="1354"/>
      <c r="K20" s="324">
        <v>1.0692972940086845</v>
      </c>
      <c r="L20" s="324">
        <v>1.0692972940086845</v>
      </c>
      <c r="M20" s="324"/>
      <c r="N20" s="324"/>
      <c r="O20" s="324"/>
      <c r="P20" s="1381"/>
      <c r="Q20" s="4"/>
    </row>
    <row r="21" spans="1:20" s="1320" customFormat="1" ht="15.75" customHeight="1">
      <c r="A21" s="207"/>
      <c r="B21" s="1317" t="s">
        <v>1436</v>
      </c>
      <c r="C21" s="305"/>
      <c r="D21" s="305"/>
      <c r="E21" s="305"/>
      <c r="F21" s="305"/>
      <c r="G21" s="305">
        <v>10790.42904290429</v>
      </c>
      <c r="H21" s="305"/>
      <c r="I21" s="1039"/>
      <c r="J21" s="1354"/>
      <c r="K21" s="324">
        <v>10112.211221122112</v>
      </c>
      <c r="L21" s="324">
        <v>10790.42904290429</v>
      </c>
      <c r="M21" s="324"/>
      <c r="N21" s="324"/>
      <c r="O21" s="324"/>
      <c r="P21" s="1381"/>
      <c r="Q21" s="4"/>
    </row>
    <row r="22" spans="1:20" s="1320" customFormat="1" ht="15.75" customHeight="1">
      <c r="A22" s="207"/>
      <c r="B22" s="1317" t="s">
        <v>1437</v>
      </c>
      <c r="C22" s="305"/>
      <c r="D22" s="305"/>
      <c r="E22" s="305"/>
      <c r="F22" s="305"/>
      <c r="G22" s="305"/>
      <c r="H22" s="305"/>
      <c r="I22" s="1039"/>
      <c r="J22" s="1354"/>
      <c r="K22" s="324">
        <v>16150.97523811286</v>
      </c>
      <c r="L22" s="324">
        <v>17430.831681570002</v>
      </c>
      <c r="M22" s="324">
        <f>K22*M15</f>
        <v>16103.725004919155</v>
      </c>
      <c r="N22" s="324">
        <f>M22*N15</f>
        <v>16062.499468906561</v>
      </c>
      <c r="O22" s="324">
        <f>N22*O15</f>
        <v>16036.79946975631</v>
      </c>
      <c r="P22" s="1381">
        <f>O22*P15</f>
        <v>16011.140590604698</v>
      </c>
      <c r="Q22" s="4"/>
    </row>
    <row r="23" spans="1:20" ht="15.75" customHeight="1">
      <c r="A23" s="259">
        <v>1</v>
      </c>
      <c r="B23" s="209" t="s">
        <v>1428</v>
      </c>
      <c r="C23" s="304">
        <f>C24+C27+C28+C42</f>
        <v>15587.199199999999</v>
      </c>
      <c r="D23" s="304">
        <f>D24+D27+D28+D42</f>
        <v>14787.39718</v>
      </c>
      <c r="E23" s="304">
        <f>D23</f>
        <v>14787.39718</v>
      </c>
      <c r="F23" s="304">
        <v>23543.026340400025</v>
      </c>
      <c r="G23" s="304">
        <v>17714.813176234897</v>
      </c>
      <c r="H23" s="304">
        <f>G23</f>
        <v>17714.813176234897</v>
      </c>
      <c r="I23" s="1040">
        <v>24909.794309199373</v>
      </c>
      <c r="J23" s="1355">
        <v>38971.886491029625</v>
      </c>
      <c r="K23" s="1326">
        <v>27287.982555635226</v>
      </c>
      <c r="L23" s="1326">
        <v>31591.464792721537</v>
      </c>
      <c r="M23" s="678">
        <f>K23*M15</f>
        <v>27208.150624737522</v>
      </c>
      <c r="N23" s="678">
        <f>M23*N15</f>
        <v>27138.49775913819</v>
      </c>
      <c r="O23" s="678">
        <f>N23*O15</f>
        <v>27095.07616272357</v>
      </c>
      <c r="P23" s="678">
        <f>O23*P15</f>
        <v>27051.72404086321</v>
      </c>
      <c r="Q23" s="4"/>
      <c r="R23" s="1341">
        <f t="shared" ref="R23:R49" si="1">K23/I23</f>
        <v>1.0954720146186663</v>
      </c>
    </row>
    <row r="24" spans="1:20" ht="15.75" customHeight="1">
      <c r="A24" s="206" t="s">
        <v>295</v>
      </c>
      <c r="B24" s="212" t="s">
        <v>49</v>
      </c>
      <c r="C24" s="261">
        <f>C25+C26</f>
        <v>3931</v>
      </c>
      <c r="D24" s="261">
        <f>D25+D26</f>
        <v>3277</v>
      </c>
      <c r="E24" s="261"/>
      <c r="F24" s="261">
        <v>5796.2495440690054</v>
      </c>
      <c r="G24" s="261">
        <v>2718.7610204073999</v>
      </c>
      <c r="H24" s="261"/>
      <c r="I24" s="1041">
        <v>6132.7452902597533</v>
      </c>
      <c r="J24" s="1356">
        <v>10002.250085513126</v>
      </c>
      <c r="K24" s="551">
        <v>2558.6510204073998</v>
      </c>
      <c r="L24" s="551">
        <v>2703.6874699755999</v>
      </c>
      <c r="M24" s="775"/>
      <c r="N24" s="775"/>
      <c r="O24" s="775"/>
      <c r="P24" s="775"/>
      <c r="Q24" s="4"/>
      <c r="R24" s="1341">
        <f t="shared" si="1"/>
        <v>0.41721136282492299</v>
      </c>
    </row>
    <row r="25" spans="1:20" ht="30.75" customHeight="1">
      <c r="A25" s="206" t="s">
        <v>50</v>
      </c>
      <c r="B25" s="212" t="s">
        <v>51</v>
      </c>
      <c r="C25" s="298">
        <v>980</v>
      </c>
      <c r="D25" s="298">
        <v>1157</v>
      </c>
      <c r="E25" s="298"/>
      <c r="F25" s="298">
        <v>5104.2274994829704</v>
      </c>
      <c r="G25" s="298">
        <v>2263</v>
      </c>
      <c r="H25" s="298"/>
      <c r="I25" s="1042">
        <v>5400.5485650456731</v>
      </c>
      <c r="J25" s="1357">
        <v>7306.4615899999999</v>
      </c>
      <c r="K25" s="1115">
        <v>2102.89</v>
      </c>
      <c r="L25" s="1115">
        <v>2300.5494699756</v>
      </c>
      <c r="M25" s="775"/>
      <c r="N25" s="775"/>
      <c r="O25" s="775"/>
      <c r="P25" s="775"/>
      <c r="Q25" s="4" t="s">
        <v>1087</v>
      </c>
      <c r="R25" s="1341">
        <f t="shared" si="1"/>
        <v>0.38938451801186896</v>
      </c>
      <c r="T25" t="s">
        <v>1433</v>
      </c>
    </row>
    <row r="26" spans="1:20" ht="42.75" customHeight="1">
      <c r="A26" s="206" t="s">
        <v>52</v>
      </c>
      <c r="B26" s="212" t="s">
        <v>53</v>
      </c>
      <c r="C26" s="298">
        <v>2951</v>
      </c>
      <c r="D26" s="298">
        <v>2120</v>
      </c>
      <c r="E26" s="298"/>
      <c r="F26" s="298">
        <v>692.02204458603705</v>
      </c>
      <c r="G26" s="298">
        <v>455.76102040739994</v>
      </c>
      <c r="H26" s="298"/>
      <c r="I26" s="1042">
        <v>732.19672521408245</v>
      </c>
      <c r="J26" s="1357">
        <v>2695.7884955131267</v>
      </c>
      <c r="K26" s="1115">
        <v>455.76102040739994</v>
      </c>
      <c r="L26" s="1115">
        <v>403.13799999999998</v>
      </c>
      <c r="M26" s="775"/>
      <c r="N26" s="775"/>
      <c r="O26" s="775"/>
      <c r="P26" s="775"/>
      <c r="Q26" s="4"/>
      <c r="R26" s="1341">
        <f t="shared" si="1"/>
        <v>0.6224570593021197</v>
      </c>
    </row>
    <row r="27" spans="1:20" ht="24.75" customHeight="1">
      <c r="A27" s="206" t="s">
        <v>257</v>
      </c>
      <c r="B27" s="212" t="s">
        <v>54</v>
      </c>
      <c r="C27" s="690">
        <v>10073</v>
      </c>
      <c r="D27" s="690">
        <v>10113</v>
      </c>
      <c r="E27" s="690"/>
      <c r="F27" s="690">
        <v>14860.164726868119</v>
      </c>
      <c r="G27" s="690">
        <v>10274.338377173588</v>
      </c>
      <c r="H27" s="690"/>
      <c r="I27" s="1042">
        <v>15722.857435362968</v>
      </c>
      <c r="J27" s="1357">
        <v>20381.533687246501</v>
      </c>
      <c r="K27" s="1115">
        <v>18438.696013651173</v>
      </c>
      <c r="L27" s="1115">
        <v>19956.255297912739</v>
      </c>
      <c r="M27" s="775"/>
      <c r="N27" s="775"/>
      <c r="O27" s="775"/>
      <c r="P27" s="775"/>
      <c r="Q27" s="325" t="s">
        <v>1088</v>
      </c>
      <c r="R27" s="1341">
        <f t="shared" si="1"/>
        <v>1.1727318707463372</v>
      </c>
    </row>
    <row r="28" spans="1:20" ht="15.75" customHeight="1">
      <c r="A28" s="206" t="s">
        <v>6</v>
      </c>
      <c r="B28" s="212" t="s">
        <v>55</v>
      </c>
      <c r="C28" s="551">
        <f>C29+C30+C37+C38+C39+C40+C41</f>
        <v>1583.1992</v>
      </c>
      <c r="D28" s="551">
        <f>D29+D30+D37+D38+D39+D40+D41</f>
        <v>1397.3971799999999</v>
      </c>
      <c r="E28" s="551"/>
      <c r="F28" s="551">
        <v>2370.5214037321875</v>
      </c>
      <c r="G28" s="551">
        <v>4205.6231129232001</v>
      </c>
      <c r="H28" s="551"/>
      <c r="I28" s="1043">
        <v>2508.1397658377696</v>
      </c>
      <c r="J28" s="1358">
        <v>7894.9615900000008</v>
      </c>
      <c r="K28" s="551">
        <v>5597.4943933066543</v>
      </c>
      <c r="L28" s="551">
        <v>8138.3808965631988</v>
      </c>
      <c r="M28" s="775"/>
      <c r="N28" s="775"/>
      <c r="O28" s="775"/>
      <c r="P28" s="775"/>
      <c r="Q28" s="4"/>
      <c r="R28" s="1341">
        <f t="shared" si="1"/>
        <v>2.2317314487603834</v>
      </c>
    </row>
    <row r="29" spans="1:20" ht="15.75" customHeight="1">
      <c r="A29" s="206" t="s">
        <v>56</v>
      </c>
      <c r="B29" s="212" t="s">
        <v>1469</v>
      </c>
      <c r="C29" s="298"/>
      <c r="D29" s="298"/>
      <c r="E29" s="298"/>
      <c r="F29" s="298">
        <v>0</v>
      </c>
      <c r="G29" s="298">
        <v>977.5</v>
      </c>
      <c r="H29" s="298"/>
      <c r="I29" s="1042">
        <v>0</v>
      </c>
      <c r="J29" s="1357">
        <v>7306.4615900000008</v>
      </c>
      <c r="K29" s="1115">
        <v>4873.4579899999999</v>
      </c>
      <c r="L29" s="1115">
        <v>7285.5497048399993</v>
      </c>
      <c r="M29" s="775"/>
      <c r="N29" s="776"/>
      <c r="O29" s="775"/>
      <c r="P29" s="775"/>
      <c r="Q29" s="4" t="s">
        <v>1089</v>
      </c>
      <c r="R29" s="1341" t="e">
        <f t="shared" si="1"/>
        <v>#DIV/0!</v>
      </c>
      <c r="T29" t="s">
        <v>1434</v>
      </c>
    </row>
    <row r="30" spans="1:20" ht="15.75" customHeight="1">
      <c r="A30" s="206" t="s">
        <v>57</v>
      </c>
      <c r="B30" s="212" t="s">
        <v>58</v>
      </c>
      <c r="C30" s="551">
        <f>SUM(C31:C36)</f>
        <v>1447.1992</v>
      </c>
      <c r="D30" s="551">
        <f>SUM(D31:D36)</f>
        <v>1265</v>
      </c>
      <c r="E30" s="551"/>
      <c r="F30" s="551">
        <v>1581.0926342044183</v>
      </c>
      <c r="G30" s="551">
        <v>1853</v>
      </c>
      <c r="H30" s="551"/>
      <c r="I30" s="1043">
        <v>1672.8814610480988</v>
      </c>
      <c r="J30" s="1358">
        <v>272</v>
      </c>
      <c r="K30" s="1331">
        <v>164.12918150729999</v>
      </c>
      <c r="L30" s="1331">
        <v>169.83700073939997</v>
      </c>
      <c r="M30" s="776"/>
      <c r="N30" s="776"/>
      <c r="O30" s="775"/>
      <c r="P30" s="775"/>
      <c r="Q30" s="4"/>
      <c r="R30" s="1341">
        <f t="shared" si="1"/>
        <v>9.8111662618622877E-2</v>
      </c>
    </row>
    <row r="31" spans="1:20" ht="15.75" customHeight="1">
      <c r="A31" s="206" t="s">
        <v>59</v>
      </c>
      <c r="B31" s="212" t="s">
        <v>1468</v>
      </c>
      <c r="C31" s="298">
        <v>71</v>
      </c>
      <c r="D31" s="298">
        <v>74</v>
      </c>
      <c r="E31" s="298">
        <f>1.93496+0.01338+1.88587+0.0446+1.5667+0.06691+1.78357+0.08921+1.74781+0.06245+1.94086+0.02841+2.40815+0.11151+1.82109+0.05394+2.02287+1.96659+1.74265+2.773+2.773+2.773+2.773+2.773+2.773+2.773+2.773+2.773+2.773+2.773+2.773+3.35+0.6</f>
        <v>58.517530000000029</v>
      </c>
      <c r="F31" s="298">
        <v>388.5101347675959</v>
      </c>
      <c r="G31" s="298">
        <v>20</v>
      </c>
      <c r="H31" s="298"/>
      <c r="I31" s="1042">
        <v>411.06472057473417</v>
      </c>
      <c r="J31" s="1357">
        <v>82</v>
      </c>
      <c r="K31" s="299">
        <v>63.105889527300029</v>
      </c>
      <c r="L31" s="299">
        <v>65.783010000000004</v>
      </c>
      <c r="M31" s="775"/>
      <c r="N31" s="775"/>
      <c r="O31" s="775"/>
      <c r="P31" s="775"/>
      <c r="Q31" s="4"/>
      <c r="R31" s="1341">
        <f t="shared" si="1"/>
        <v>0.15351813563340563</v>
      </c>
    </row>
    <row r="32" spans="1:20" ht="27.75" customHeight="1">
      <c r="A32" s="206" t="s">
        <v>62</v>
      </c>
      <c r="B32" s="212" t="s">
        <v>61</v>
      </c>
      <c r="C32" s="298">
        <v>10</v>
      </c>
      <c r="D32" s="298">
        <v>10</v>
      </c>
      <c r="E32" s="298"/>
      <c r="F32" s="298">
        <v>0</v>
      </c>
      <c r="G32" s="298">
        <v>0</v>
      </c>
      <c r="H32" s="298"/>
      <c r="I32" s="1042">
        <v>0</v>
      </c>
      <c r="J32" s="1357">
        <v>10</v>
      </c>
      <c r="K32" s="299">
        <v>0</v>
      </c>
      <c r="L32" s="299">
        <v>0</v>
      </c>
      <c r="M32" s="775"/>
      <c r="N32" s="775"/>
      <c r="O32" s="775"/>
      <c r="P32" s="775"/>
      <c r="Q32" s="1388"/>
      <c r="R32" s="1341" t="e">
        <f t="shared" si="1"/>
        <v>#DIV/0!</v>
      </c>
    </row>
    <row r="33" spans="1:23" ht="15.75" customHeight="1">
      <c r="A33" s="206" t="s">
        <v>63</v>
      </c>
      <c r="B33" s="212" t="s">
        <v>64</v>
      </c>
      <c r="C33" s="298">
        <v>87</v>
      </c>
      <c r="D33" s="298">
        <v>74</v>
      </c>
      <c r="E33" s="298">
        <f>3.239*12+11.34+11.34+4.8+4.56+7.5+0.99+0.99+0.99+4.8+7.5</f>
        <v>93.677999999999983</v>
      </c>
      <c r="F33" s="298">
        <v>0</v>
      </c>
      <c r="G33" s="298">
        <v>0</v>
      </c>
      <c r="H33" s="298"/>
      <c r="I33" s="1042">
        <v>0</v>
      </c>
      <c r="J33" s="1357">
        <v>80</v>
      </c>
      <c r="K33" s="1253">
        <v>101.02329197999997</v>
      </c>
      <c r="L33" s="1253">
        <v>104.05399073939996</v>
      </c>
      <c r="M33" s="775"/>
      <c r="N33" s="775"/>
      <c r="O33" s="775"/>
      <c r="P33" s="775"/>
      <c r="Q33" s="4"/>
      <c r="R33" s="1341" t="e">
        <f t="shared" si="1"/>
        <v>#DIV/0!</v>
      </c>
    </row>
    <row r="34" spans="1:23" ht="15.75" customHeight="1">
      <c r="A34" s="206" t="s">
        <v>65</v>
      </c>
      <c r="B34" s="212" t="s">
        <v>66</v>
      </c>
      <c r="C34" s="298">
        <v>31</v>
      </c>
      <c r="D34" s="298">
        <v>0</v>
      </c>
      <c r="E34" s="298"/>
      <c r="F34" s="298">
        <v>0</v>
      </c>
      <c r="G34" s="298">
        <v>50</v>
      </c>
      <c r="H34" s="298"/>
      <c r="I34" s="1042">
        <v>0</v>
      </c>
      <c r="J34" s="1357"/>
      <c r="K34" s="1253"/>
      <c r="L34" s="1253"/>
      <c r="M34" s="775"/>
      <c r="N34" s="775"/>
      <c r="O34" s="775"/>
      <c r="P34" s="775"/>
      <c r="Q34" s="4"/>
      <c r="R34" s="1341" t="e">
        <f t="shared" si="1"/>
        <v>#DIV/0!</v>
      </c>
    </row>
    <row r="35" spans="1:23" ht="15.75" customHeight="1">
      <c r="A35" s="206" t="s">
        <v>67</v>
      </c>
      <c r="B35" s="212" t="s">
        <v>68</v>
      </c>
      <c r="C35" s="298"/>
      <c r="D35" s="298"/>
      <c r="E35" s="298"/>
      <c r="F35" s="298">
        <v>0</v>
      </c>
      <c r="G35" s="298">
        <v>0</v>
      </c>
      <c r="H35" s="298"/>
      <c r="I35" s="1042">
        <v>0</v>
      </c>
      <c r="J35" s="1357"/>
      <c r="K35" s="1253"/>
      <c r="L35" s="1253"/>
      <c r="M35" s="775"/>
      <c r="N35" s="775"/>
      <c r="O35" s="775"/>
      <c r="P35" s="775"/>
      <c r="Q35" s="4"/>
      <c r="R35" s="1341" t="e">
        <f t="shared" si="1"/>
        <v>#DIV/0!</v>
      </c>
    </row>
    <row r="36" spans="1:23" ht="15.75" customHeight="1">
      <c r="A36" s="206" t="s">
        <v>69</v>
      </c>
      <c r="B36" s="212" t="s">
        <v>70</v>
      </c>
      <c r="C36" s="298">
        <v>1248.1992</v>
      </c>
      <c r="D36" s="298">
        <v>1107</v>
      </c>
      <c r="E36" s="298"/>
      <c r="F36" s="298">
        <v>388.5101347675959</v>
      </c>
      <c r="G36" s="298">
        <v>1783</v>
      </c>
      <c r="H36" s="298"/>
      <c r="I36" s="1042">
        <v>411.06472057473417</v>
      </c>
      <c r="J36" s="1357">
        <v>100</v>
      </c>
      <c r="K36" s="1254">
        <v>0</v>
      </c>
      <c r="L36" s="1254">
        <v>0</v>
      </c>
      <c r="M36" s="775"/>
      <c r="N36" s="775"/>
      <c r="O36" s="775"/>
      <c r="P36" s="775"/>
      <c r="Q36" s="4" t="s">
        <v>1090</v>
      </c>
      <c r="R36" s="1341">
        <f t="shared" si="1"/>
        <v>0</v>
      </c>
    </row>
    <row r="37" spans="1:23" ht="15.75" customHeight="1">
      <c r="A37" s="206" t="s">
        <v>71</v>
      </c>
      <c r="B37" s="212" t="s">
        <v>72</v>
      </c>
      <c r="C37" s="298"/>
      <c r="D37" s="298">
        <v>0</v>
      </c>
      <c r="E37" s="298"/>
      <c r="F37" s="298">
        <v>12.408499992577317</v>
      </c>
      <c r="G37" s="298">
        <v>12</v>
      </c>
      <c r="H37" s="298"/>
      <c r="I37" s="1042">
        <v>13.128863640202301</v>
      </c>
      <c r="J37" s="1357">
        <v>13.5</v>
      </c>
      <c r="K37" s="1253">
        <v>12.780754992354638</v>
      </c>
      <c r="L37" s="1253">
        <v>12.36</v>
      </c>
      <c r="M37" s="775"/>
      <c r="N37" s="775"/>
      <c r="O37" s="775"/>
      <c r="P37" s="775"/>
      <c r="Q37" s="4" t="s">
        <v>1090</v>
      </c>
      <c r="R37" s="1341">
        <f t="shared" si="1"/>
        <v>0.9734852415724915</v>
      </c>
    </row>
    <row r="38" spans="1:23" ht="15.75" customHeight="1">
      <c r="A38" s="206" t="s">
        <v>73</v>
      </c>
      <c r="B38" s="212" t="s">
        <v>74</v>
      </c>
      <c r="C38" s="298">
        <v>19</v>
      </c>
      <c r="D38" s="298">
        <v>33</v>
      </c>
      <c r="E38" s="298">
        <f>7.2+29.4+5+12+3+5+1.5+12+3+12</f>
        <v>90.1</v>
      </c>
      <c r="F38" s="298">
        <v>0</v>
      </c>
      <c r="G38" s="298">
        <v>40</v>
      </c>
      <c r="H38" s="298"/>
      <c r="I38" s="1042">
        <v>0</v>
      </c>
      <c r="J38" s="1357">
        <v>14</v>
      </c>
      <c r="K38" s="1332">
        <v>97.164740999999992</v>
      </c>
      <c r="L38" s="1332">
        <v>38</v>
      </c>
      <c r="M38" s="775"/>
      <c r="N38" s="775"/>
      <c r="O38" s="775"/>
      <c r="P38" s="775"/>
      <c r="Q38" s="4"/>
      <c r="R38" s="1341" t="e">
        <f t="shared" si="1"/>
        <v>#DIV/0!</v>
      </c>
    </row>
    <row r="39" spans="1:23" ht="27" customHeight="1">
      <c r="A39" s="206" t="s">
        <v>75</v>
      </c>
      <c r="B39" s="212" t="s">
        <v>76</v>
      </c>
      <c r="C39" s="298"/>
      <c r="D39" s="298">
        <v>30</v>
      </c>
      <c r="E39" s="298"/>
      <c r="F39" s="298">
        <v>35.000821674308291</v>
      </c>
      <c r="G39" s="298">
        <v>375.12311292319998</v>
      </c>
      <c r="H39" s="298"/>
      <c r="I39" s="1042">
        <v>37.032761037346432</v>
      </c>
      <c r="J39" s="1357">
        <v>289</v>
      </c>
      <c r="K39" s="1332">
        <v>375.12311292319998</v>
      </c>
      <c r="L39" s="1332">
        <v>500</v>
      </c>
      <c r="M39" s="775"/>
      <c r="N39" s="775"/>
      <c r="O39" s="775"/>
      <c r="P39" s="775"/>
      <c r="Q39" s="4"/>
      <c r="R39" s="1341">
        <f t="shared" si="1"/>
        <v>10.129493519127552</v>
      </c>
      <c r="T39" s="1345" t="s">
        <v>1447</v>
      </c>
    </row>
    <row r="40" spans="1:23" ht="15.75" customHeight="1">
      <c r="A40" s="206" t="s">
        <v>77</v>
      </c>
      <c r="B40" s="212" t="s">
        <v>78</v>
      </c>
      <c r="C40" s="298"/>
      <c r="D40" s="298">
        <v>0</v>
      </c>
      <c r="E40" s="298"/>
      <c r="F40" s="298">
        <v>0</v>
      </c>
      <c r="G40" s="298">
        <v>31</v>
      </c>
      <c r="H40" s="298"/>
      <c r="I40" s="1042">
        <v>0</v>
      </c>
      <c r="J40" s="1357"/>
      <c r="K40" s="299"/>
      <c r="L40" s="299">
        <v>32.550000000000004</v>
      </c>
      <c r="M40" s="775"/>
      <c r="N40" s="775"/>
      <c r="O40" s="775"/>
      <c r="P40" s="775"/>
      <c r="Q40" s="4"/>
      <c r="R40" s="1341" t="e">
        <f t="shared" si="1"/>
        <v>#DIV/0!</v>
      </c>
    </row>
    <row r="41" spans="1:23" ht="15.75" customHeight="1">
      <c r="A41" s="206" t="s">
        <v>79</v>
      </c>
      <c r="B41" s="212" t="s">
        <v>80</v>
      </c>
      <c r="C41" s="298">
        <v>117</v>
      </c>
      <c r="D41" s="298">
        <f>'Другие прочие и подконтрольные '!B6</f>
        <v>69.397179999999992</v>
      </c>
      <c r="E41" s="298"/>
      <c r="F41" s="298">
        <v>0</v>
      </c>
      <c r="G41" s="298">
        <v>917</v>
      </c>
      <c r="H41" s="298"/>
      <c r="I41" s="1042">
        <v>0</v>
      </c>
      <c r="J41" s="1357">
        <v>0</v>
      </c>
      <c r="K41" s="1332">
        <v>74.838612883799996</v>
      </c>
      <c r="L41" s="1332">
        <v>100.08419098379999</v>
      </c>
      <c r="M41" s="775"/>
      <c r="N41" s="775"/>
      <c r="O41" s="775"/>
      <c r="P41" s="775"/>
      <c r="Q41" s="4" t="s">
        <v>1090</v>
      </c>
      <c r="R41" s="1341" t="e">
        <f t="shared" si="1"/>
        <v>#DIV/0!</v>
      </c>
    </row>
    <row r="42" spans="1:23" ht="15.75" customHeight="1">
      <c r="A42" s="206" t="s">
        <v>7</v>
      </c>
      <c r="B42" s="212" t="s">
        <v>81</v>
      </c>
      <c r="C42" s="298"/>
      <c r="D42" s="298"/>
      <c r="E42" s="298"/>
      <c r="F42" s="298">
        <v>516.09066573071095</v>
      </c>
      <c r="G42" s="298">
        <v>516.09066573071095</v>
      </c>
      <c r="H42" s="298"/>
      <c r="I42" s="1030">
        <v>546.05181773888057</v>
      </c>
      <c r="J42" s="1359">
        <v>693.14112827000008</v>
      </c>
      <c r="K42" s="1332">
        <v>693.14112827000008</v>
      </c>
      <c r="L42" s="1332">
        <v>793.14112826999997</v>
      </c>
      <c r="M42" s="775">
        <f>K42*K18/K23*M15</f>
        <v>646.98056130240366</v>
      </c>
      <c r="N42" s="775">
        <f>M42*N15</f>
        <v>645.32429106546942</v>
      </c>
      <c r="O42" s="775">
        <f>N42*O15</f>
        <v>644.29177219976464</v>
      </c>
      <c r="P42" s="775">
        <f>O42*P15</f>
        <v>643.26090536424499</v>
      </c>
      <c r="Q42" s="4"/>
      <c r="R42" s="1341">
        <f t="shared" si="1"/>
        <v>1.2693687773812281</v>
      </c>
    </row>
    <row r="43" spans="1:23" ht="15.75" customHeight="1">
      <c r="A43" s="206"/>
      <c r="B43" s="736" t="s">
        <v>84</v>
      </c>
      <c r="C43" s="304"/>
      <c r="D43" s="304"/>
      <c r="E43" s="304"/>
      <c r="F43" s="304"/>
      <c r="G43" s="304"/>
      <c r="H43" s="304"/>
      <c r="I43" s="1044"/>
      <c r="J43" s="1360"/>
      <c r="K43" s="552"/>
      <c r="L43" s="552"/>
      <c r="M43" s="678"/>
      <c r="N43" s="678"/>
      <c r="O43" s="678"/>
      <c r="P43" s="1382"/>
      <c r="Q43" s="4"/>
      <c r="R43" s="1341" t="e">
        <f t="shared" si="1"/>
        <v>#DIV/0!</v>
      </c>
    </row>
    <row r="44" spans="1:23" ht="15.75" customHeight="1">
      <c r="A44" s="259">
        <v>2</v>
      </c>
      <c r="B44" s="209" t="s">
        <v>28</v>
      </c>
      <c r="C44" s="304">
        <f>C45+C48+C49+C50+C51+C59+C60+C61+C62+C63+C68</f>
        <v>6174.8008</v>
      </c>
      <c r="D44" s="304">
        <f>D45+D48+D49+D50+D51+D59+D60+D61+D62+D63+D68</f>
        <v>6702.8008</v>
      </c>
      <c r="E44" s="304">
        <f>E45+E48+E49+E50+E51+E59+E60+E61+E62+E63+E68</f>
        <v>6060.0093432212252</v>
      </c>
      <c r="F44" s="304">
        <v>7007.2757992410397</v>
      </c>
      <c r="G44" s="304">
        <v>6977.7800000000007</v>
      </c>
      <c r="H44" s="687">
        <f>H45+H48+H49+H50+H51+H59+H60+H61+H62+H63+H68</f>
        <v>6665.2037004796375</v>
      </c>
      <c r="I44" s="1044">
        <v>7373.8819269003725</v>
      </c>
      <c r="J44" s="1360">
        <v>11374.556535051064</v>
      </c>
      <c r="K44" s="1333">
        <v>8577.0454225761059</v>
      </c>
      <c r="L44" s="1333">
        <v>14243.536452261402</v>
      </c>
      <c r="M44" s="687">
        <f>M45+M48+M49+M50+M51+M59+M60+M61+M62+M63+M68</f>
        <v>8505.4769887556322</v>
      </c>
      <c r="N44" s="687">
        <f>N45+N48+N49+N50+N51+N59+N60+N61+N62+N63+N68</f>
        <v>8495.8675192530809</v>
      </c>
      <c r="O44" s="687">
        <f>O45+O48+O49+O50+O51+O59+O60+O61+O62+O63+O68</f>
        <v>8491.3036704532187</v>
      </c>
      <c r="P44" s="687">
        <f>P45+P48+P49+P50+P51+P59+P60+P61+P62+P63+P68</f>
        <v>8486.9121356947126</v>
      </c>
      <c r="Q44" s="4"/>
      <c r="R44" s="763">
        <f t="shared" si="1"/>
        <v>1.1631655493813264</v>
      </c>
      <c r="W44" s="1071"/>
    </row>
    <row r="45" spans="1:23" ht="25.5" customHeight="1">
      <c r="A45" s="206" t="s">
        <v>244</v>
      </c>
      <c r="B45" s="212" t="s">
        <v>85</v>
      </c>
      <c r="C45" s="298"/>
      <c r="D45" s="298"/>
      <c r="E45" s="298"/>
      <c r="F45" s="298"/>
      <c r="G45" s="298"/>
      <c r="H45" s="298"/>
      <c r="I45" s="1042"/>
      <c r="J45" s="1357">
        <v>0</v>
      </c>
      <c r="K45" s="298">
        <v>0</v>
      </c>
      <c r="L45" s="298">
        <v>0</v>
      </c>
      <c r="M45" s="298">
        <f>K45*M$15</f>
        <v>0</v>
      </c>
      <c r="N45" s="298">
        <f t="shared" ref="N45:P47" si="2">M45*N$15</f>
        <v>0</v>
      </c>
      <c r="O45" s="298">
        <f t="shared" si="2"/>
        <v>0</v>
      </c>
      <c r="P45" s="298">
        <f t="shared" si="2"/>
        <v>0</v>
      </c>
      <c r="Q45" s="4" t="s">
        <v>1457</v>
      </c>
      <c r="R45" s="1341" t="e">
        <f t="shared" si="1"/>
        <v>#DIV/0!</v>
      </c>
      <c r="W45" s="1071"/>
    </row>
    <row r="46" spans="1:23" ht="15.75" customHeight="1">
      <c r="A46" s="206"/>
      <c r="B46" s="212" t="s">
        <v>506</v>
      </c>
      <c r="C46" s="298"/>
      <c r="D46" s="298"/>
      <c r="E46" s="298"/>
      <c r="F46" s="298"/>
      <c r="G46" s="298"/>
      <c r="H46" s="298"/>
      <c r="I46" s="1042"/>
      <c r="J46" s="1357">
        <v>0</v>
      </c>
      <c r="K46" s="298">
        <v>0</v>
      </c>
      <c r="L46" s="298">
        <v>0</v>
      </c>
      <c r="M46" s="298">
        <f>K46*M$15</f>
        <v>0</v>
      </c>
      <c r="N46" s="298">
        <f t="shared" si="2"/>
        <v>0</v>
      </c>
      <c r="O46" s="298">
        <f t="shared" si="2"/>
        <v>0</v>
      </c>
      <c r="P46" s="298">
        <f t="shared" si="2"/>
        <v>0</v>
      </c>
      <c r="Q46" s="4"/>
      <c r="R46" s="1341" t="e">
        <f t="shared" si="1"/>
        <v>#DIV/0!</v>
      </c>
      <c r="W46" s="1071"/>
    </row>
    <row r="47" spans="1:23" ht="15.75" customHeight="1">
      <c r="A47" s="206"/>
      <c r="B47" s="212" t="s">
        <v>507</v>
      </c>
      <c r="C47" s="298"/>
      <c r="D47" s="298"/>
      <c r="E47" s="298"/>
      <c r="F47" s="298"/>
      <c r="G47" s="298"/>
      <c r="H47" s="298"/>
      <c r="I47" s="1042"/>
      <c r="J47" s="1357">
        <v>0</v>
      </c>
      <c r="K47" s="298">
        <v>0</v>
      </c>
      <c r="L47" s="298">
        <v>0</v>
      </c>
      <c r="M47" s="298">
        <f>K47*M$15</f>
        <v>0</v>
      </c>
      <c r="N47" s="298">
        <f t="shared" si="2"/>
        <v>0</v>
      </c>
      <c r="O47" s="298">
        <f t="shared" si="2"/>
        <v>0</v>
      </c>
      <c r="P47" s="298">
        <f t="shared" si="2"/>
        <v>0</v>
      </c>
      <c r="Q47" s="4"/>
      <c r="R47" s="1341" t="e">
        <f t="shared" si="1"/>
        <v>#DIV/0!</v>
      </c>
      <c r="W47" s="1071"/>
    </row>
    <row r="48" spans="1:23" ht="15.75" customHeight="1">
      <c r="A48" s="206" t="s">
        <v>245</v>
      </c>
      <c r="B48" s="212" t="s">
        <v>86</v>
      </c>
      <c r="C48" s="298">
        <v>20</v>
      </c>
      <c r="D48" s="298">
        <v>20</v>
      </c>
      <c r="E48" s="298">
        <f>5.52664+5.99651+5.24999+4.62158+4.47922+4.92957+5.50226+5.83637+5.16827+5.92739+5.75552</f>
        <v>58.993319999999997</v>
      </c>
      <c r="F48" s="298"/>
      <c r="G48" s="298"/>
      <c r="H48" s="298">
        <f>'Содержание зданий'!D7</f>
        <v>20.8</v>
      </c>
      <c r="I48" s="1042"/>
      <c r="J48" s="1357">
        <v>21.632000000000001</v>
      </c>
      <c r="K48" s="1334">
        <v>63.618986221199997</v>
      </c>
      <c r="L48" s="1334">
        <v>21.568199999999997</v>
      </c>
      <c r="M48" s="298">
        <f>'Содержание зданий'!I7</f>
        <v>22.497280000000003</v>
      </c>
      <c r="N48" s="298">
        <f>M48*1.056</f>
        <v>23.757127680000004</v>
      </c>
      <c r="O48" s="298">
        <f>N48*1.056</f>
        <v>25.087526830080005</v>
      </c>
      <c r="P48" s="298">
        <f>O48*1.056</f>
        <v>26.492428332564486</v>
      </c>
      <c r="Q48" s="4"/>
      <c r="R48" s="1341" t="e">
        <f t="shared" si="1"/>
        <v>#DIV/0!</v>
      </c>
      <c r="W48" s="1071"/>
    </row>
    <row r="49" spans="1:23" ht="15.75" customHeight="1">
      <c r="A49" s="206" t="s">
        <v>17</v>
      </c>
      <c r="B49" s="212" t="s">
        <v>485</v>
      </c>
      <c r="C49" s="298">
        <v>56</v>
      </c>
      <c r="D49" s="298">
        <v>56</v>
      </c>
      <c r="E49" s="298"/>
      <c r="F49" s="298"/>
      <c r="G49" s="298"/>
      <c r="H49" s="298">
        <f>'Содержание зданий'!D15+'Содержание зданий'!D21+'Содержание зданий'!D27</f>
        <v>43.737328772269493</v>
      </c>
      <c r="I49" s="1042"/>
      <c r="J49" s="1357">
        <f>61.74+4.8</f>
        <v>66.540000000000006</v>
      </c>
      <c r="K49" s="1334">
        <v>75.359380000000002</v>
      </c>
      <c r="L49" s="1334">
        <v>77.620161400000001</v>
      </c>
      <c r="M49" s="1334">
        <f>'Содержание зданий'!I15+'Содержание зданий'!I21+'Содержание зданий'!I27</f>
        <v>51.119843086956912</v>
      </c>
      <c r="N49" s="298">
        <f>M49*N8</f>
        <v>53.113516967348225</v>
      </c>
      <c r="O49" s="298">
        <f>N49*O8</f>
        <v>55.238057646042158</v>
      </c>
      <c r="P49" s="298">
        <f>O49*P8</f>
        <v>57.447579951883846</v>
      </c>
      <c r="Q49" s="4" t="s">
        <v>1458</v>
      </c>
      <c r="R49" s="1341" t="e">
        <f t="shared" si="1"/>
        <v>#DIV/0!</v>
      </c>
      <c r="W49" s="1071"/>
    </row>
    <row r="50" spans="1:23" ht="15.75" customHeight="1">
      <c r="A50" s="206" t="s">
        <v>18</v>
      </c>
      <c r="B50" s="212" t="s">
        <v>590</v>
      </c>
      <c r="C50" s="298">
        <v>394.80079999999998</v>
      </c>
      <c r="D50" s="298">
        <v>394.80079999999998</v>
      </c>
      <c r="E50" s="298">
        <f>'Аренда имущества'!J45</f>
        <v>18.819599999999998</v>
      </c>
      <c r="F50" s="298">
        <v>508.48101000000003</v>
      </c>
      <c r="G50" s="298">
        <v>482.5</v>
      </c>
      <c r="H50" s="298">
        <f>'Аренда имущества'!L45</f>
        <v>328.70274000000001</v>
      </c>
      <c r="I50" s="1042">
        <v>5.7169999999999996</v>
      </c>
      <c r="J50" s="1357">
        <v>558.84899999999993</v>
      </c>
      <c r="K50" s="1334">
        <v>339.41999999999996</v>
      </c>
      <c r="L50" s="1334">
        <v>339.41999999999996</v>
      </c>
      <c r="M50" s="1334">
        <f>'Аренда имущества'!V45:V45</f>
        <v>320.09035</v>
      </c>
      <c r="N50" s="298">
        <f>M50</f>
        <v>320.09035</v>
      </c>
      <c r="O50" s="298">
        <f>N50</f>
        <v>320.09035</v>
      </c>
      <c r="P50" s="298">
        <f>O50</f>
        <v>320.09035</v>
      </c>
      <c r="Q50" s="4" t="s">
        <v>1091</v>
      </c>
      <c r="R50" s="1341">
        <f t="shared" ref="R50:R62" si="3">K50/I50</f>
        <v>59.370299107923735</v>
      </c>
      <c r="W50" s="1071"/>
    </row>
    <row r="51" spans="1:23" ht="15.75" customHeight="1">
      <c r="A51" s="206" t="s">
        <v>19</v>
      </c>
      <c r="B51" s="212" t="s">
        <v>87</v>
      </c>
      <c r="C51" s="553">
        <f>SUM(C52:C58)</f>
        <v>25</v>
      </c>
      <c r="D51" s="553">
        <f t="shared" ref="D51:P51" si="4">SUM(D52:D58)</f>
        <v>40</v>
      </c>
      <c r="E51" s="553"/>
      <c r="F51" s="553">
        <v>47.328400000000002</v>
      </c>
      <c r="G51" s="553">
        <v>58</v>
      </c>
      <c r="H51" s="553">
        <f t="shared" si="4"/>
        <v>95.177670057595634</v>
      </c>
      <c r="I51" s="1045">
        <v>53.488399999999999</v>
      </c>
      <c r="J51" s="1361">
        <v>40</v>
      </c>
      <c r="K51" s="1335">
        <v>92.959460759252195</v>
      </c>
      <c r="L51" s="1335">
        <v>153</v>
      </c>
      <c r="M51" s="553">
        <f t="shared" si="4"/>
        <v>93.377670057595623</v>
      </c>
      <c r="N51" s="553">
        <f t="shared" si="4"/>
        <v>93.377670057595623</v>
      </c>
      <c r="O51" s="553">
        <f t="shared" si="4"/>
        <v>93.377670057595623</v>
      </c>
      <c r="P51" s="553">
        <f t="shared" si="4"/>
        <v>93.377670057595623</v>
      </c>
      <c r="Q51" s="4"/>
      <c r="R51" s="1341">
        <f t="shared" si="3"/>
        <v>1.737936837879843</v>
      </c>
      <c r="W51" s="1071"/>
    </row>
    <row r="52" spans="1:23" ht="15.75" customHeight="1">
      <c r="A52" s="206" t="s">
        <v>88</v>
      </c>
      <c r="B52" s="212" t="s">
        <v>89</v>
      </c>
      <c r="C52" s="1042">
        <v>25</v>
      </c>
      <c r="D52" s="298">
        <v>40</v>
      </c>
      <c r="E52" s="298">
        <f>'Плата за землю'!C6</f>
        <v>39.695810759252197</v>
      </c>
      <c r="F52" s="298">
        <v>18</v>
      </c>
      <c r="G52" s="298">
        <v>58</v>
      </c>
      <c r="H52" s="298">
        <f>'Плата за землю'!J6</f>
        <v>41.914420057595628</v>
      </c>
      <c r="I52" s="1042">
        <v>25</v>
      </c>
      <c r="J52" s="1357">
        <v>40</v>
      </c>
      <c r="K52" s="1334">
        <v>39.695810759252197</v>
      </c>
      <c r="L52" s="1334">
        <v>58</v>
      </c>
      <c r="M52" s="298">
        <f>'Плата за землю'!J6</f>
        <v>41.914420057595628</v>
      </c>
      <c r="N52" s="298">
        <f t="shared" ref="N52:P52" si="5">M52</f>
        <v>41.914420057595628</v>
      </c>
      <c r="O52" s="298">
        <f t="shared" si="5"/>
        <v>41.914420057595628</v>
      </c>
      <c r="P52" s="298">
        <f t="shared" si="5"/>
        <v>41.914420057595628</v>
      </c>
      <c r="Q52" s="4" t="s">
        <v>1092</v>
      </c>
      <c r="R52" s="1341">
        <f t="shared" si="3"/>
        <v>1.5878324303700879</v>
      </c>
      <c r="W52" s="1046"/>
    </row>
    <row r="53" spans="1:23" ht="53.25" customHeight="1">
      <c r="A53" s="206" t="s">
        <v>90</v>
      </c>
      <c r="B53" s="212" t="s">
        <v>91</v>
      </c>
      <c r="C53" s="298"/>
      <c r="D53" s="298"/>
      <c r="E53" s="298"/>
      <c r="F53" s="298"/>
      <c r="G53" s="298"/>
      <c r="H53" s="298"/>
      <c r="I53" s="1042"/>
      <c r="J53" s="1357">
        <v>0</v>
      </c>
      <c r="K53" s="298">
        <v>0</v>
      </c>
      <c r="L53" s="298">
        <v>0</v>
      </c>
      <c r="M53" s="298">
        <f>'Налог на имущество'!E10</f>
        <v>0</v>
      </c>
      <c r="N53" s="298">
        <f>'Налог на имущество'!F10</f>
        <v>0</v>
      </c>
      <c r="O53" s="298">
        <f>'Налог на имущество'!G10</f>
        <v>0</v>
      </c>
      <c r="P53" s="298">
        <f>'Налог на имущество'!H10</f>
        <v>0</v>
      </c>
      <c r="Q53" s="313" t="s">
        <v>1094</v>
      </c>
      <c r="R53" s="1341" t="e">
        <f t="shared" si="3"/>
        <v>#DIV/0!</v>
      </c>
      <c r="W53" s="1046"/>
    </row>
    <row r="54" spans="1:23" ht="11.25" customHeight="1">
      <c r="A54" s="206"/>
      <c r="B54" s="239" t="s">
        <v>382</v>
      </c>
      <c r="C54" s="261"/>
      <c r="D54" s="261"/>
      <c r="E54" s="261"/>
      <c r="F54" s="261"/>
      <c r="G54" s="261"/>
      <c r="H54" s="261"/>
      <c r="I54" s="1041"/>
      <c r="J54" s="1356"/>
      <c r="K54" s="258"/>
      <c r="L54" s="258"/>
      <c r="M54" s="258"/>
      <c r="N54" s="258"/>
      <c r="O54" s="258"/>
      <c r="P54" s="672"/>
      <c r="Q54" s="4"/>
      <c r="R54" s="1341" t="e">
        <f t="shared" si="3"/>
        <v>#DIV/0!</v>
      </c>
    </row>
    <row r="55" spans="1:23" ht="11.25" customHeight="1">
      <c r="A55" s="206"/>
      <c r="B55" s="239" t="s">
        <v>392</v>
      </c>
      <c r="C55" s="261"/>
      <c r="D55" s="261"/>
      <c r="E55" s="261"/>
      <c r="F55" s="261"/>
      <c r="G55" s="261"/>
      <c r="H55" s="261"/>
      <c r="I55" s="1041"/>
      <c r="J55" s="1356"/>
      <c r="K55" s="258"/>
      <c r="L55" s="258"/>
      <c r="M55" s="258"/>
      <c r="N55" s="258"/>
      <c r="O55" s="258"/>
      <c r="P55" s="672"/>
      <c r="Q55" s="4"/>
      <c r="R55" s="1341" t="e">
        <f t="shared" si="3"/>
        <v>#DIV/0!</v>
      </c>
    </row>
    <row r="56" spans="1:23" ht="11.25" customHeight="1">
      <c r="A56" s="206"/>
      <c r="B56" s="239" t="s">
        <v>393</v>
      </c>
      <c r="C56" s="261"/>
      <c r="D56" s="261"/>
      <c r="E56" s="261"/>
      <c r="F56" s="261"/>
      <c r="G56" s="261"/>
      <c r="H56" s="261"/>
      <c r="I56" s="1041"/>
      <c r="J56" s="1356"/>
      <c r="K56" s="258"/>
      <c r="L56" s="258"/>
      <c r="M56" s="258"/>
      <c r="N56" s="258"/>
      <c r="O56" s="258"/>
      <c r="P56" s="672"/>
      <c r="Q56" s="4"/>
      <c r="R56" s="1341" t="e">
        <f t="shared" si="3"/>
        <v>#DIV/0!</v>
      </c>
    </row>
    <row r="57" spans="1:23" ht="11.25" customHeight="1">
      <c r="A57" s="206"/>
      <c r="B57" s="239" t="s">
        <v>399</v>
      </c>
      <c r="C57" s="261"/>
      <c r="D57" s="261"/>
      <c r="E57" s="261"/>
      <c r="F57" s="261"/>
      <c r="G57" s="261"/>
      <c r="H57" s="261"/>
      <c r="I57" s="1041"/>
      <c r="J57" s="1356"/>
      <c r="K57" s="258"/>
      <c r="L57" s="258"/>
      <c r="M57" s="258"/>
      <c r="N57" s="258"/>
      <c r="O57" s="258"/>
      <c r="P57" s="672"/>
      <c r="Q57" s="4"/>
      <c r="R57" s="1341" t="e">
        <f t="shared" si="3"/>
        <v>#DIV/0!</v>
      </c>
    </row>
    <row r="58" spans="1:23" ht="27.75" customHeight="1">
      <c r="A58" s="206" t="s">
        <v>92</v>
      </c>
      <c r="B58" s="212" t="s">
        <v>93</v>
      </c>
      <c r="C58" s="298"/>
      <c r="D58" s="298"/>
      <c r="E58" s="298">
        <f>'Транс. налог'!E34+'негативное воздействие '!C10+'прочие налоги и сборы'!C8</f>
        <v>53.263649999999998</v>
      </c>
      <c r="F58" s="298">
        <v>29.328400000000002</v>
      </c>
      <c r="G58" s="298">
        <v>95</v>
      </c>
      <c r="H58" s="298">
        <f>'Транс. налог'!G34</f>
        <v>53.263249999999999</v>
      </c>
      <c r="I58" s="1042">
        <v>28.488400000000002</v>
      </c>
      <c r="J58" s="1357">
        <v>0</v>
      </c>
      <c r="K58" s="1334">
        <v>53.263649999999998</v>
      </c>
      <c r="L58" s="1334">
        <v>95</v>
      </c>
      <c r="M58" s="1334">
        <f>'Транс. налог'!P34</f>
        <v>51.463250000000002</v>
      </c>
      <c r="N58" s="298">
        <f>M58</f>
        <v>51.463250000000002</v>
      </c>
      <c r="O58" s="298">
        <f>N58</f>
        <v>51.463250000000002</v>
      </c>
      <c r="P58" s="298">
        <f>O58</f>
        <v>51.463250000000002</v>
      </c>
      <c r="Q58" s="4" t="s">
        <v>1093</v>
      </c>
      <c r="R58" s="1341">
        <f t="shared" si="3"/>
        <v>1.8696609848218921</v>
      </c>
      <c r="W58" s="1072"/>
    </row>
    <row r="59" spans="1:23" ht="15.75" customHeight="1">
      <c r="A59" s="206" t="s">
        <v>20</v>
      </c>
      <c r="B59" s="212" t="s">
        <v>94</v>
      </c>
      <c r="C59" s="1042">
        <v>3052</v>
      </c>
      <c r="D59" s="298">
        <v>3064</v>
      </c>
      <c r="E59" s="298">
        <v>3064</v>
      </c>
      <c r="F59" s="298">
        <v>4502.6299122410401</v>
      </c>
      <c r="G59" s="298">
        <v>3269.5</v>
      </c>
      <c r="H59" s="298">
        <v>3183</v>
      </c>
      <c r="I59" s="1042">
        <v>4764.0258029149791</v>
      </c>
      <c r="J59" s="1357">
        <v>6175.6047072356896</v>
      </c>
      <c r="K59" s="1142">
        <v>5002.6201830088985</v>
      </c>
      <c r="L59" s="1142">
        <v>5408.4876053764128</v>
      </c>
      <c r="M59" s="1334">
        <f>M22*0.303+M42*0.303*'Другие прочие и подконтрольные '!J21</f>
        <v>5024.6058839613061</v>
      </c>
      <c r="N59" s="1334">
        <f>N22*0.303+N42*0.303*'Другие прочие и подконтрольные '!J21</f>
        <v>5011.7428928983645</v>
      </c>
      <c r="O59" s="1334">
        <f>O22*0.303+O42*0.303*'Другие прочие и подконтрольные '!J21</f>
        <v>5003.7241042697269</v>
      </c>
      <c r="P59" s="1334">
        <f>P22*0.303+P42*0.303*'Другие прочие и подконтрольные '!J21</f>
        <v>4995.7181457028955</v>
      </c>
      <c r="Q59" s="4" t="s">
        <v>1094</v>
      </c>
      <c r="R59" s="1341">
        <f t="shared" si="3"/>
        <v>1.0500825121366744</v>
      </c>
      <c r="S59" s="1073">
        <v>0.30299999999999999</v>
      </c>
      <c r="W59" s="1072"/>
    </row>
    <row r="60" spans="1:23" ht="15.75" customHeight="1">
      <c r="A60" s="206" t="s">
        <v>96</v>
      </c>
      <c r="B60" s="212" t="s">
        <v>95</v>
      </c>
      <c r="C60" s="1042">
        <v>48</v>
      </c>
      <c r="D60" s="298">
        <v>49</v>
      </c>
      <c r="E60" s="298"/>
      <c r="F60" s="298"/>
      <c r="G60" s="298"/>
      <c r="H60" s="298"/>
      <c r="I60" s="1042"/>
      <c r="J60" s="1357">
        <v>210.02176186581002</v>
      </c>
      <c r="K60" s="298">
        <v>0</v>
      </c>
      <c r="L60" s="298">
        <v>0</v>
      </c>
      <c r="M60" s="298">
        <f>K60*M$15</f>
        <v>0</v>
      </c>
      <c r="N60" s="298">
        <f t="shared" ref="N60:P60" si="6">M60*N$15</f>
        <v>0</v>
      </c>
      <c r="O60" s="298">
        <f t="shared" si="6"/>
        <v>0</v>
      </c>
      <c r="P60" s="298">
        <f t="shared" si="6"/>
        <v>0</v>
      </c>
      <c r="Q60" s="4" t="s">
        <v>1090</v>
      </c>
      <c r="R60" s="1341" t="e">
        <f t="shared" si="3"/>
        <v>#DIV/0!</v>
      </c>
      <c r="W60" s="1072"/>
    </row>
    <row r="61" spans="1:23" ht="24.75" customHeight="1">
      <c r="A61" s="206" t="s">
        <v>97</v>
      </c>
      <c r="B61" s="4" t="s">
        <v>1376</v>
      </c>
      <c r="C61" s="1042">
        <v>1257</v>
      </c>
      <c r="D61" s="1042">
        <v>1341</v>
      </c>
      <c r="E61" s="1042">
        <f>1727*44846/65525</f>
        <v>1181.9769858832506</v>
      </c>
      <c r="F61" s="1042">
        <v>1111</v>
      </c>
      <c r="G61" s="1042">
        <v>1343.88</v>
      </c>
      <c r="H61" s="1042">
        <f>1625*(44417+77)/61463</f>
        <v>1176.3622016497729</v>
      </c>
      <c r="I61" s="1042">
        <v>1111</v>
      </c>
      <c r="J61" s="1357">
        <v>2120</v>
      </c>
      <c r="K61" s="1334">
        <v>1181.9769858832506</v>
      </c>
      <c r="L61" s="1334">
        <v>1812.3500587814831</v>
      </c>
      <c r="M61" s="298">
        <f>H61</f>
        <v>1176.3622016497729</v>
      </c>
      <c r="N61" s="298">
        <f>M61</f>
        <v>1176.3622016497729</v>
      </c>
      <c r="O61" s="298">
        <f>N61</f>
        <v>1176.3622016497729</v>
      </c>
      <c r="P61" s="298">
        <f>O61</f>
        <v>1176.3622016497729</v>
      </c>
      <c r="Q61" s="1389" t="s">
        <v>1095</v>
      </c>
      <c r="R61" s="1341">
        <f t="shared" si="3"/>
        <v>1.0638856758625117</v>
      </c>
      <c r="S61" t="s">
        <v>1427</v>
      </c>
      <c r="W61" s="1072"/>
    </row>
    <row r="62" spans="1:23" ht="28.5" customHeight="1">
      <c r="A62" s="206" t="s">
        <v>99</v>
      </c>
      <c r="B62" s="294" t="s">
        <v>674</v>
      </c>
      <c r="C62" s="1042"/>
      <c r="D62" s="298"/>
      <c r="E62" s="298"/>
      <c r="F62" s="298"/>
      <c r="G62" s="298"/>
      <c r="H62" s="298"/>
      <c r="I62" s="1042"/>
      <c r="J62" s="1357"/>
      <c r="K62" s="298"/>
      <c r="L62" s="298"/>
      <c r="M62" s="298"/>
      <c r="N62" s="298"/>
      <c r="O62" s="298"/>
      <c r="P62" s="298"/>
      <c r="Q62" s="325" t="s">
        <v>1099</v>
      </c>
      <c r="R62" s="1341" t="e">
        <f t="shared" si="3"/>
        <v>#DIV/0!</v>
      </c>
    </row>
    <row r="63" spans="1:23" ht="15.75" customHeight="1">
      <c r="A63" s="206" t="s">
        <v>100</v>
      </c>
      <c r="B63" s="4" t="s">
        <v>101</v>
      </c>
      <c r="C63" s="1042">
        <v>1322</v>
      </c>
      <c r="D63" s="298">
        <v>1738</v>
      </c>
      <c r="E63" s="298">
        <f>'[9]2019'!$W$95/1000</f>
        <v>1736.219437337975</v>
      </c>
      <c r="F63" s="298">
        <v>837.83647700000006</v>
      </c>
      <c r="G63" s="298">
        <v>1823.9</v>
      </c>
      <c r="H63" s="298">
        <v>1817.4237599999999</v>
      </c>
      <c r="I63" s="1042">
        <v>1439.6507239853941</v>
      </c>
      <c r="J63" s="1357">
        <v>2186.7090659495648</v>
      </c>
      <c r="K63" s="1334">
        <v>1821.0904267035057</v>
      </c>
      <c r="L63" s="1334">
        <v>1821.0904267035057</v>
      </c>
      <c r="M63" s="298">
        <f>H63</f>
        <v>1817.4237599999999</v>
      </c>
      <c r="N63" s="298">
        <f>M63</f>
        <v>1817.4237599999999</v>
      </c>
      <c r="O63" s="298">
        <f>N63</f>
        <v>1817.4237599999999</v>
      </c>
      <c r="P63" s="298">
        <f>O63</f>
        <v>1817.4237599999999</v>
      </c>
      <c r="Q63" s="4" t="s">
        <v>1096</v>
      </c>
      <c r="R63" s="1341">
        <f>M63/I63</f>
        <v>1.2624060334362313</v>
      </c>
    </row>
    <row r="64" spans="1:23" ht="11.25" customHeight="1">
      <c r="B64" s="239" t="s">
        <v>382</v>
      </c>
      <c r="C64" s="261"/>
      <c r="D64" s="261"/>
      <c r="E64" s="261"/>
      <c r="F64" s="261"/>
      <c r="G64" s="261"/>
      <c r="H64" s="261"/>
      <c r="I64" s="1041"/>
      <c r="J64" s="1356"/>
      <c r="K64" s="258"/>
      <c r="L64" s="258"/>
      <c r="M64" s="258"/>
      <c r="N64" s="258"/>
      <c r="O64" s="258"/>
      <c r="P64" s="672"/>
      <c r="Q64" s="4"/>
      <c r="R64" s="1341" t="e">
        <f t="shared" ref="R64:R82" si="7">K64/I64</f>
        <v>#DIV/0!</v>
      </c>
    </row>
    <row r="65" spans="1:18" ht="11.25" customHeight="1">
      <c r="A65" s="1141"/>
      <c r="B65" s="239" t="s">
        <v>392</v>
      </c>
      <c r="C65" s="261"/>
      <c r="D65" s="261"/>
      <c r="E65" s="261"/>
      <c r="F65" s="261"/>
      <c r="G65" s="261"/>
      <c r="H65" s="261"/>
      <c r="I65" s="1041"/>
      <c r="J65" s="1356"/>
      <c r="K65" s="258"/>
      <c r="L65" s="258"/>
      <c r="M65" s="258"/>
      <c r="N65" s="258"/>
      <c r="O65" s="258"/>
      <c r="P65" s="258"/>
      <c r="Q65" s="4"/>
      <c r="R65" s="1341" t="e">
        <f t="shared" si="7"/>
        <v>#DIV/0!</v>
      </c>
    </row>
    <row r="66" spans="1:18" ht="11.25" customHeight="1">
      <c r="A66" s="1141"/>
      <c r="B66" s="239" t="s">
        <v>393</v>
      </c>
      <c r="C66" s="261"/>
      <c r="D66" s="261"/>
      <c r="E66" s="261"/>
      <c r="F66" s="261">
        <v>616.34005937239601</v>
      </c>
      <c r="G66" s="261">
        <v>1341.7208072802887</v>
      </c>
      <c r="H66" s="261"/>
      <c r="I66" s="1041">
        <v>1059.0544062653298</v>
      </c>
      <c r="J66" s="1356">
        <v>1608.6150848472923</v>
      </c>
      <c r="K66" s="258">
        <v>1339.6539927885483</v>
      </c>
      <c r="L66" s="258">
        <v>1339.6539927885483</v>
      </c>
      <c r="M66" s="258">
        <f>K66/K63*M63</f>
        <v>1336.9566722065781</v>
      </c>
      <c r="N66" s="258">
        <f t="shared" ref="N66:P66" si="8">M66/M63*N63</f>
        <v>1336.9566722065781</v>
      </c>
      <c r="O66" s="258">
        <f t="shared" si="8"/>
        <v>1336.9566722065781</v>
      </c>
      <c r="P66" s="258">
        <f t="shared" si="8"/>
        <v>1336.9566722065781</v>
      </c>
      <c r="Q66" s="4"/>
      <c r="R66" s="1341">
        <f t="shared" si="7"/>
        <v>1.2649529475192218</v>
      </c>
    </row>
    <row r="67" spans="1:18" ht="11.25" customHeight="1">
      <c r="A67" s="1141"/>
      <c r="B67" s="239" t="s">
        <v>399</v>
      </c>
      <c r="C67" s="261"/>
      <c r="D67" s="261"/>
      <c r="E67" s="261"/>
      <c r="F67" s="261">
        <v>221.49641762760407</v>
      </c>
      <c r="G67" s="261">
        <v>482.17919271971141</v>
      </c>
      <c r="H67" s="261"/>
      <c r="I67" s="1041">
        <v>380.59631772006435</v>
      </c>
      <c r="J67" s="1356">
        <v>578.09398110227278</v>
      </c>
      <c r="K67" s="258">
        <v>481.4364339149576</v>
      </c>
      <c r="L67" s="258">
        <v>481.4364339149576</v>
      </c>
      <c r="M67" s="258">
        <f>K67/K63*M63</f>
        <v>480.46708779342202</v>
      </c>
      <c r="N67" s="258">
        <f t="shared" ref="N67:P67" si="9">M67/M63*N63</f>
        <v>480.46708779342202</v>
      </c>
      <c r="O67" s="258">
        <f t="shared" si="9"/>
        <v>480.46708779342202</v>
      </c>
      <c r="P67" s="258">
        <f t="shared" si="9"/>
        <v>480.46708779342202</v>
      </c>
      <c r="Q67" s="4"/>
      <c r="R67" s="1341">
        <f t="shared" si="7"/>
        <v>1.2649529475192218</v>
      </c>
    </row>
    <row r="68" spans="1:18" ht="57.75" customHeight="1">
      <c r="A68" s="206" t="s">
        <v>102</v>
      </c>
      <c r="B68" s="4" t="s">
        <v>103</v>
      </c>
      <c r="C68" s="306"/>
      <c r="D68" s="306"/>
      <c r="E68" s="306"/>
      <c r="F68" s="306"/>
      <c r="G68" s="306"/>
      <c r="H68" s="306"/>
      <c r="I68" s="1036"/>
      <c r="J68" s="1351"/>
      <c r="K68" s="554"/>
      <c r="L68" s="554">
        <v>4610</v>
      </c>
      <c r="M68" s="554"/>
      <c r="N68" s="554"/>
      <c r="O68" s="554"/>
      <c r="P68" s="554"/>
      <c r="Q68" s="4" t="s">
        <v>1097</v>
      </c>
      <c r="R68" s="1341" t="e">
        <f t="shared" si="7"/>
        <v>#DIV/0!</v>
      </c>
    </row>
    <row r="69" spans="1:18" ht="12" customHeight="1">
      <c r="A69" s="206"/>
      <c r="B69" s="239" t="s">
        <v>382</v>
      </c>
      <c r="C69" s="261"/>
      <c r="D69" s="261"/>
      <c r="E69" s="261"/>
      <c r="F69" s="261"/>
      <c r="G69" s="261"/>
      <c r="H69" s="261"/>
      <c r="I69" s="1041"/>
      <c r="J69" s="1356"/>
      <c r="K69" s="258"/>
      <c r="L69" s="258"/>
      <c r="M69" s="258"/>
      <c r="N69" s="258"/>
      <c r="O69" s="258"/>
      <c r="P69" s="1383"/>
      <c r="Q69" s="4"/>
      <c r="R69" s="1341" t="e">
        <f t="shared" si="7"/>
        <v>#DIV/0!</v>
      </c>
    </row>
    <row r="70" spans="1:18" ht="12" customHeight="1">
      <c r="A70" s="206"/>
      <c r="B70" s="239" t="s">
        <v>392</v>
      </c>
      <c r="C70" s="261"/>
      <c r="D70" s="261"/>
      <c r="E70" s="261"/>
      <c r="F70" s="261"/>
      <c r="G70" s="261"/>
      <c r="H70" s="261"/>
      <c r="I70" s="1041"/>
      <c r="J70" s="1356"/>
      <c r="K70" s="258"/>
      <c r="L70" s="258"/>
      <c r="M70" s="258"/>
      <c r="N70" s="258"/>
      <c r="O70" s="258"/>
      <c r="P70" s="1383"/>
      <c r="Q70" s="4"/>
      <c r="R70" s="1341" t="e">
        <f t="shared" si="7"/>
        <v>#DIV/0!</v>
      </c>
    </row>
    <row r="71" spans="1:18" ht="12" customHeight="1">
      <c r="A71" s="206"/>
      <c r="B71" s="239" t="s">
        <v>393</v>
      </c>
      <c r="C71" s="261"/>
      <c r="D71" s="261"/>
      <c r="E71" s="261"/>
      <c r="F71" s="261"/>
      <c r="G71" s="261"/>
      <c r="H71" s="261"/>
      <c r="I71" s="1041"/>
      <c r="J71" s="1356"/>
      <c r="K71" s="258"/>
      <c r="L71" s="258"/>
      <c r="M71" s="258"/>
      <c r="N71" s="258"/>
      <c r="O71" s="258"/>
      <c r="P71" s="1383"/>
      <c r="Q71" s="4"/>
      <c r="R71" s="1341" t="e">
        <f t="shared" si="7"/>
        <v>#DIV/0!</v>
      </c>
    </row>
    <row r="72" spans="1:18" ht="12" customHeight="1">
      <c r="A72" s="206"/>
      <c r="B72" s="239" t="s">
        <v>399</v>
      </c>
      <c r="C72" s="261"/>
      <c r="D72" s="261"/>
      <c r="E72" s="261"/>
      <c r="F72" s="261"/>
      <c r="G72" s="261"/>
      <c r="H72" s="261"/>
      <c r="I72" s="1041"/>
      <c r="J72" s="1356"/>
      <c r="K72" s="258"/>
      <c r="L72" s="258"/>
      <c r="M72" s="258"/>
      <c r="N72" s="258"/>
      <c r="O72" s="258"/>
      <c r="P72" s="1383"/>
      <c r="Q72" s="4"/>
      <c r="R72" s="1341" t="e">
        <f t="shared" si="7"/>
        <v>#DIV/0!</v>
      </c>
    </row>
    <row r="73" spans="1:18" ht="24.75" customHeight="1">
      <c r="A73" s="206"/>
      <c r="B73" s="220" t="s">
        <v>104</v>
      </c>
      <c r="C73" s="262"/>
      <c r="D73" s="262"/>
      <c r="E73" s="262"/>
      <c r="F73" s="262">
        <v>0</v>
      </c>
      <c r="G73" s="262">
        <v>0</v>
      </c>
      <c r="H73" s="262"/>
      <c r="I73" s="557">
        <v>0</v>
      </c>
      <c r="J73" s="1348">
        <v>0</v>
      </c>
      <c r="K73" s="732">
        <v>0</v>
      </c>
      <c r="L73" s="732">
        <v>0.10990065202555697</v>
      </c>
      <c r="M73" s="732">
        <f>M68/(M78-M68/0.8-M45-M50)</f>
        <v>0</v>
      </c>
      <c r="N73" s="732">
        <f>N68/(N78-N68/0.8-N45-N50)</f>
        <v>0</v>
      </c>
      <c r="O73" s="732">
        <f>O68/(O78-O68/0.8-O45-O50)</f>
        <v>0</v>
      </c>
      <c r="P73" s="732">
        <f>P68/(P78-P68/0.8-P45-P50)</f>
        <v>0</v>
      </c>
      <c r="Q73" s="4"/>
      <c r="R73" s="1341" t="e">
        <f t="shared" si="7"/>
        <v>#DIV/0!</v>
      </c>
    </row>
    <row r="74" spans="1:18" ht="61.5" customHeight="1">
      <c r="A74" s="207" t="s">
        <v>21</v>
      </c>
      <c r="B74" s="210" t="s">
        <v>42</v>
      </c>
      <c r="C74" s="298"/>
      <c r="D74" s="298"/>
      <c r="E74" s="298"/>
      <c r="F74" s="298">
        <v>842.69113499963112</v>
      </c>
      <c r="G74" s="298"/>
      <c r="H74" s="298"/>
      <c r="I74" s="1042">
        <v>-1826.0900188873018</v>
      </c>
      <c r="J74" s="1357"/>
      <c r="K74" s="1332">
        <v>4158.7910211312737</v>
      </c>
      <c r="L74" s="1332">
        <v>5430.226774734655</v>
      </c>
      <c r="M74" s="299">
        <f>'Корр ПР'!E12+'Корр. НР'!G19+'Корр. ПО'!B46</f>
        <v>572.68776785062619</v>
      </c>
      <c r="N74" s="299"/>
      <c r="O74" s="299"/>
      <c r="P74" s="1384"/>
      <c r="Q74" s="325" t="s">
        <v>1459</v>
      </c>
      <c r="R74" s="1341">
        <f t="shared" si="7"/>
        <v>-2.2774293589673995</v>
      </c>
    </row>
    <row r="75" spans="1:18" ht="36.75" customHeight="1">
      <c r="A75" s="207">
        <v>4</v>
      </c>
      <c r="B75" s="210" t="s">
        <v>43</v>
      </c>
      <c r="C75" s="298"/>
      <c r="D75" s="298"/>
      <c r="E75" s="298"/>
      <c r="F75" s="298"/>
      <c r="G75" s="298"/>
      <c r="H75" s="298"/>
      <c r="I75" s="1042"/>
      <c r="J75" s="1357">
        <v>0</v>
      </c>
      <c r="K75" s="1332">
        <v>-408.1089125703291</v>
      </c>
      <c r="L75" s="1332">
        <v>-182.74551730327468</v>
      </c>
      <c r="M75" s="299">
        <f>'Корр. КНК'!E10</f>
        <v>-395.94862082376181</v>
      </c>
      <c r="N75" s="299"/>
      <c r="O75" s="299"/>
      <c r="P75" s="1384"/>
      <c r="Q75" s="4" t="s">
        <v>1098</v>
      </c>
      <c r="R75" s="1341" t="e">
        <f t="shared" si="7"/>
        <v>#DIV/0!</v>
      </c>
    </row>
    <row r="76" spans="1:18" s="1422" customFormat="1" ht="36.75" customHeight="1">
      <c r="A76" s="207" t="s">
        <v>630</v>
      </c>
      <c r="B76" s="1434" t="s">
        <v>1505</v>
      </c>
      <c r="C76" s="298"/>
      <c r="D76" s="298"/>
      <c r="E76" s="298"/>
      <c r="F76" s="298"/>
      <c r="G76" s="298"/>
      <c r="H76" s="298"/>
      <c r="I76" s="1042"/>
      <c r="J76" s="1042"/>
      <c r="K76" s="1332"/>
      <c r="L76" s="1332"/>
      <c r="M76" s="299">
        <f>'Корр. ПО'!B47</f>
        <v>0</v>
      </c>
      <c r="N76" s="299"/>
      <c r="O76" s="299"/>
      <c r="P76" s="1384"/>
      <c r="Q76" s="1435" t="s">
        <v>1507</v>
      </c>
      <c r="R76" s="1341"/>
    </row>
    <row r="77" spans="1:18" s="1422" customFormat="1" ht="36.75" customHeight="1">
      <c r="A77" s="207" t="s">
        <v>44</v>
      </c>
      <c r="B77" s="1434" t="s">
        <v>1506</v>
      </c>
      <c r="C77" s="298"/>
      <c r="D77" s="298"/>
      <c r="E77" s="298"/>
      <c r="F77" s="298"/>
      <c r="G77" s="298"/>
      <c r="H77" s="298"/>
      <c r="I77" s="1042"/>
      <c r="J77" s="1042"/>
      <c r="K77" s="1332"/>
      <c r="L77" s="1332"/>
      <c r="M77" s="299"/>
      <c r="N77" s="299"/>
      <c r="O77" s="299"/>
      <c r="P77" s="1384"/>
      <c r="Q77" s="1435" t="s">
        <v>1508</v>
      </c>
      <c r="R77" s="1341"/>
    </row>
    <row r="78" spans="1:18" ht="16.5" customHeight="1">
      <c r="A78" s="207">
        <v>5</v>
      </c>
      <c r="B78" s="1409" t="s">
        <v>29</v>
      </c>
      <c r="C78" s="1409">
        <f>C23+C44+C74+C75</f>
        <v>21762</v>
      </c>
      <c r="D78" s="1409">
        <f>D23+D44+D74+D75</f>
        <v>21490.197980000001</v>
      </c>
      <c r="E78" s="1409">
        <f>E23+E44+E74+E75</f>
        <v>20847.406523221223</v>
      </c>
      <c r="F78" s="1409">
        <v>31392.993274640696</v>
      </c>
      <c r="G78" s="1409">
        <v>24692.593176234899</v>
      </c>
      <c r="H78" s="1418">
        <f t="shared" ref="H78" si="10">H23+H44+H74+H75</f>
        <v>24380.016876714533</v>
      </c>
      <c r="I78" s="1415">
        <v>30457.586217212443</v>
      </c>
      <c r="J78" s="1415">
        <v>50346.443026080691</v>
      </c>
      <c r="K78" s="1385">
        <v>37873.168138101537</v>
      </c>
      <c r="L78" s="1385">
        <v>48048.895882617711</v>
      </c>
      <c r="M78" s="1385">
        <f>M18+M44+M74+M75+M76+M77</f>
        <v>34152.922678214047</v>
      </c>
      <c r="N78" s="1344">
        <f t="shared" ref="N78:P78" si="11">N23+N44+N74+N75</f>
        <v>35634.365278391269</v>
      </c>
      <c r="O78" s="1344">
        <f t="shared" si="11"/>
        <v>35586.37983317679</v>
      </c>
      <c r="P78" s="1386">
        <f t="shared" si="11"/>
        <v>35538.63617655792</v>
      </c>
      <c r="Q78" s="4"/>
      <c r="R78" s="1445">
        <f>M78/K78</f>
        <v>0.90177094648322242</v>
      </c>
    </row>
    <row r="79" spans="1:18" ht="12" customHeight="1">
      <c r="A79" s="206"/>
      <c r="B79" s="239" t="s">
        <v>382</v>
      </c>
      <c r="C79" s="261"/>
      <c r="D79" s="261"/>
      <c r="E79" s="261"/>
      <c r="F79" s="261">
        <v>0</v>
      </c>
      <c r="G79" s="261">
        <v>0</v>
      </c>
      <c r="H79" s="261"/>
      <c r="I79" s="1041">
        <v>0</v>
      </c>
      <c r="J79" s="1356">
        <v>0</v>
      </c>
      <c r="K79" s="377">
        <v>0</v>
      </c>
      <c r="L79" s="377">
        <v>0</v>
      </c>
      <c r="M79" s="377">
        <f>M45+M54+M64+M69+($M$78-SUM($M$64:$M$67)-SUM($M$69:$M$72)-SUM($M$54:$M$57)-$M$45)*M10/$M$9</f>
        <v>0</v>
      </c>
      <c r="N79" s="377">
        <f>N45+N54+N64+N69+($N$78-SUM($N$64:$N$67)-SUM($N$69:$N$72)-SUM($N$54:$N$57)-$N$45)*N10/$N$9</f>
        <v>0</v>
      </c>
      <c r="O79" s="377">
        <f>O45+O54+O64+O69+($O$78-SUM($O$64:$O$67)-SUM($O$69:$O$72)-SUM($O$54:$O$57)-$O$45)*O10/$O$9</f>
        <v>0</v>
      </c>
      <c r="P79" s="377">
        <f>P45+P54+P64+P69+($P$78-SUM($P$64:$P$67)-SUM($P$69:$P$72)-SUM($P$54:$P$57)-$P$45)*P10/$P$9</f>
        <v>0</v>
      </c>
      <c r="Q79" s="4"/>
      <c r="R79" s="1341" t="e">
        <f t="shared" si="7"/>
        <v>#DIV/0!</v>
      </c>
    </row>
    <row r="80" spans="1:18" ht="12" customHeight="1">
      <c r="A80" s="206"/>
      <c r="B80" s="239" t="s">
        <v>486</v>
      </c>
      <c r="C80" s="261"/>
      <c r="D80" s="261"/>
      <c r="E80" s="261"/>
      <c r="F80" s="261">
        <v>0</v>
      </c>
      <c r="G80" s="261">
        <v>0</v>
      </c>
      <c r="H80" s="261"/>
      <c r="I80" s="1041">
        <v>0</v>
      </c>
      <c r="J80" s="1356">
        <v>0</v>
      </c>
      <c r="K80" s="377">
        <v>0</v>
      </c>
      <c r="L80" s="377">
        <v>0</v>
      </c>
      <c r="M80" s="377">
        <f>M55+M65+M70+($M$78-SUM($M$64:$M$67)-SUM($M$69:$M$72)-SUM($M$54:$M$57)-$M$45)*M11/$M$9</f>
        <v>0</v>
      </c>
      <c r="N80" s="377">
        <f>N55+N65+N70+($N$78-SUM($N$64:$N$67)-SUM($N$69:$N$72)-SUM($N$54:$N$57)-$N$45)*N11/$N$9</f>
        <v>0</v>
      </c>
      <c r="O80" s="377">
        <f>O55+O65+O70+($O$78-SUM($O$64:$O$67)-SUM($O$69:$O$72)-SUM($O$54:$O$57)-$O$45)*O11/$O$9</f>
        <v>0</v>
      </c>
      <c r="P80" s="377">
        <f>P55+P65+P70+($P$78-SUM($P$64:$P$67)-SUM($P$69:$P$72)-SUM($P$54:$P$57)-$P$45)*P11/$P$9</f>
        <v>0</v>
      </c>
      <c r="Q80" s="4"/>
      <c r="R80" s="1341" t="e">
        <f t="shared" si="7"/>
        <v>#DIV/0!</v>
      </c>
    </row>
    <row r="81" spans="1:18" ht="12" customHeight="1">
      <c r="A81" s="206"/>
      <c r="B81" s="239" t="s">
        <v>393</v>
      </c>
      <c r="C81" s="261"/>
      <c r="D81" s="261"/>
      <c r="E81" s="261"/>
      <c r="F81" s="261">
        <v>14290.492931286357</v>
      </c>
      <c r="G81" s="261">
        <v>14290.492931286357</v>
      </c>
      <c r="H81" s="261"/>
      <c r="I81" s="1041">
        <v>16296.927033148952</v>
      </c>
      <c r="J81" s="1356">
        <v>31925.812084357898</v>
      </c>
      <c r="K81" s="377">
        <v>23191.902359412768</v>
      </c>
      <c r="L81" s="377">
        <v>29359.716923787109</v>
      </c>
      <c r="M81" s="377">
        <f>M56+M66+M71+($M$78-SUM($M$64:$M$67)-SUM($M$69:$M$72)-SUM($M$54:$M$57)-$M$45)*M12/$M$9</f>
        <v>20953.081872229955</v>
      </c>
      <c r="N81" s="377">
        <f>N56+N66+N71+($N$78-SUM($N$64:$N$67)-SUM($N$69:$N$72)-SUM($N$54:$N$57)-$N$45)*N12/$N$9</f>
        <v>21851.789623584784</v>
      </c>
      <c r="O81" s="377">
        <f>O56+O66+O71+($O$78-SUM($O$64:$O$67)-SUM($O$69:$O$72)-SUM($O$54:$O$57)-$O$45)*O12/$O$9</f>
        <v>21822.679557787225</v>
      </c>
      <c r="P81" s="377">
        <f>P56+P66+P71+($P$78-SUM($P$64:$P$67)-SUM($P$69:$P$72)-SUM($P$54:$P$57)-$P$45)*P12/$P$9</f>
        <v>21793.716171506672</v>
      </c>
      <c r="Q81" s="4"/>
      <c r="R81" s="1341">
        <f t="shared" si="7"/>
        <v>1.4230843834692892</v>
      </c>
    </row>
    <row r="82" spans="1:18" ht="12" customHeight="1">
      <c r="A82" s="206"/>
      <c r="B82" s="239" t="s">
        <v>399</v>
      </c>
      <c r="C82" s="261"/>
      <c r="D82" s="261"/>
      <c r="E82" s="261"/>
      <c r="F82" s="261">
        <v>17102.500343354339</v>
      </c>
      <c r="G82" s="261">
        <v>17102.500343354339</v>
      </c>
      <c r="H82" s="261"/>
      <c r="I82" s="1041">
        <v>14160.659184063492</v>
      </c>
      <c r="J82" s="1356">
        <v>18420.630941722793</v>
      </c>
      <c r="K82" s="377">
        <v>14681.265778688768</v>
      </c>
      <c r="L82" s="377">
        <v>18689.178958830602</v>
      </c>
      <c r="M82" s="377">
        <f>M78-M79-M80-M81</f>
        <v>13199.840805984091</v>
      </c>
      <c r="N82" s="377">
        <f>N78-N79-N80-N81</f>
        <v>13782.575654806486</v>
      </c>
      <c r="O82" s="377">
        <f>O78-O79-O80-O81</f>
        <v>13763.700275389565</v>
      </c>
      <c r="P82" s="377">
        <f>P78-P79-P80-P81</f>
        <v>13744.920005051248</v>
      </c>
      <c r="Q82" s="4"/>
      <c r="R82" s="1341">
        <f t="shared" si="7"/>
        <v>1.0367642909739097</v>
      </c>
    </row>
    <row r="83" spans="1:18" ht="12" customHeight="1">
      <c r="A83" s="206"/>
      <c r="B83" s="1387" t="s">
        <v>30</v>
      </c>
      <c r="C83" s="261"/>
      <c r="D83" s="261"/>
      <c r="E83" s="377">
        <f>E78*$E$129</f>
        <v>20847.406523221223</v>
      </c>
      <c r="F83" s="261">
        <v>31392.993274640696</v>
      </c>
      <c r="G83" s="261">
        <v>31392.993274640696</v>
      </c>
      <c r="H83" s="261">
        <f>H78*$M$129</f>
        <v>24380.016876714533</v>
      </c>
      <c r="I83" s="1041">
        <v>30457.586217212443</v>
      </c>
      <c r="J83" s="1356">
        <v>50346.443026080691</v>
      </c>
      <c r="K83" s="377">
        <v>37873.168138101537</v>
      </c>
      <c r="L83" s="377">
        <v>48048.895882617711</v>
      </c>
      <c r="M83" s="377">
        <f>M78*$M$129</f>
        <v>34152.922678214047</v>
      </c>
      <c r="N83" s="377">
        <f>N78*$K$129</f>
        <v>35634.365278391269</v>
      </c>
      <c r="O83" s="377">
        <f>O78*$K$129</f>
        <v>35586.37983317679</v>
      </c>
      <c r="P83" s="377">
        <f>P78*$K$129</f>
        <v>35538.63617655792</v>
      </c>
      <c r="Q83" s="4"/>
      <c r="R83" s="1341"/>
    </row>
    <row r="84" spans="1:18" ht="75.75" hidden="1" customHeight="1">
      <c r="A84" s="206"/>
      <c r="B84" s="528" t="s">
        <v>1086</v>
      </c>
      <c r="C84" s="261"/>
      <c r="D84" s="261"/>
      <c r="E84" s="261"/>
      <c r="F84" s="261"/>
      <c r="G84" s="261"/>
      <c r="H84" s="261"/>
      <c r="I84" s="1041">
        <v>0</v>
      </c>
      <c r="J84" s="1356"/>
      <c r="K84" s="377"/>
      <c r="L84" s="377"/>
      <c r="M84" s="377"/>
      <c r="N84" s="377"/>
      <c r="O84" s="377"/>
      <c r="P84" s="377"/>
      <c r="Q84" s="4"/>
      <c r="R84" s="1341"/>
    </row>
    <row r="85" spans="1:18" ht="29.25" customHeight="1">
      <c r="A85" s="259" t="s">
        <v>44</v>
      </c>
      <c r="B85" s="284" t="s">
        <v>30</v>
      </c>
      <c r="C85" s="679">
        <f>C78</f>
        <v>21762</v>
      </c>
      <c r="D85" s="679">
        <f>D78</f>
        <v>21490.197980000001</v>
      </c>
      <c r="E85" s="679">
        <f>E83</f>
        <v>20847.406523221223</v>
      </c>
      <c r="F85" s="679">
        <v>31392.993274640696</v>
      </c>
      <c r="G85" s="679">
        <v>31392.993274640696</v>
      </c>
      <c r="H85" s="679">
        <f>H83+H84</f>
        <v>24380.016876714533</v>
      </c>
      <c r="I85" s="1047">
        <v>30457.586217212443</v>
      </c>
      <c r="J85" s="1362">
        <v>50346.443026080691</v>
      </c>
      <c r="K85" s="1338">
        <v>37873.168138101537</v>
      </c>
      <c r="L85" s="1338">
        <v>48048.895882617711</v>
      </c>
      <c r="M85" s="1338">
        <f>M83+M84</f>
        <v>34152.922678214047</v>
      </c>
      <c r="N85" s="1338">
        <f>N83+N84</f>
        <v>35634.365278391269</v>
      </c>
      <c r="O85" s="1338">
        <f>O83+O84</f>
        <v>35586.37983317679</v>
      </c>
      <c r="P85" s="1338">
        <f>P83+P84</f>
        <v>35538.63617655792</v>
      </c>
      <c r="Q85" s="4"/>
      <c r="R85" s="763">
        <f t="shared" ref="R85:R107" si="12">K85/I85</f>
        <v>1.243472410059151</v>
      </c>
    </row>
    <row r="86" spans="1:18" ht="12" customHeight="1">
      <c r="A86" s="206"/>
      <c r="B86" s="239" t="s">
        <v>382</v>
      </c>
      <c r="C86" s="261"/>
      <c r="D86" s="261"/>
      <c r="E86" s="261"/>
      <c r="F86" s="261">
        <v>0</v>
      </c>
      <c r="G86" s="261">
        <v>0</v>
      </c>
      <c r="H86" s="261"/>
      <c r="I86" s="1044">
        <v>0</v>
      </c>
      <c r="J86" s="1360">
        <v>0</v>
      </c>
      <c r="K86" s="678">
        <v>0</v>
      </c>
      <c r="L86" s="678">
        <v>0</v>
      </c>
      <c r="M86" s="678">
        <f t="shared" ref="M86:P88" si="13">M79/$K$78*$K$85</f>
        <v>0</v>
      </c>
      <c r="N86" s="678">
        <f t="shared" si="13"/>
        <v>0</v>
      </c>
      <c r="O86" s="678">
        <f t="shared" si="13"/>
        <v>0</v>
      </c>
      <c r="P86" s="678">
        <f t="shared" si="13"/>
        <v>0</v>
      </c>
      <c r="Q86" s="4"/>
      <c r="R86" s="1341" t="e">
        <f t="shared" si="12"/>
        <v>#DIV/0!</v>
      </c>
    </row>
    <row r="87" spans="1:18" ht="12" customHeight="1">
      <c r="A87" s="206"/>
      <c r="B87" s="239" t="s">
        <v>486</v>
      </c>
      <c r="C87" s="261"/>
      <c r="D87" s="261"/>
      <c r="E87" s="261"/>
      <c r="F87" s="261">
        <v>0</v>
      </c>
      <c r="G87" s="261">
        <v>0</v>
      </c>
      <c r="H87" s="261"/>
      <c r="I87" s="1044">
        <v>0</v>
      </c>
      <c r="J87" s="1360">
        <v>0</v>
      </c>
      <c r="K87" s="678">
        <v>0</v>
      </c>
      <c r="L87" s="678">
        <v>0</v>
      </c>
      <c r="M87" s="678">
        <f t="shared" si="13"/>
        <v>0</v>
      </c>
      <c r="N87" s="678">
        <f t="shared" si="13"/>
        <v>0</v>
      </c>
      <c r="O87" s="678">
        <f t="shared" si="13"/>
        <v>0</v>
      </c>
      <c r="P87" s="678">
        <f t="shared" si="13"/>
        <v>0</v>
      </c>
      <c r="Q87" s="4"/>
      <c r="R87" s="1341" t="e">
        <f t="shared" si="12"/>
        <v>#DIV/0!</v>
      </c>
    </row>
    <row r="88" spans="1:18" ht="12" customHeight="1">
      <c r="A88" s="206"/>
      <c r="B88" s="239" t="s">
        <v>393</v>
      </c>
      <c r="C88" s="261"/>
      <c r="D88" s="261"/>
      <c r="E88" s="261"/>
      <c r="F88" s="261">
        <v>14290.492931286357</v>
      </c>
      <c r="G88" s="261">
        <v>14290.492931286357</v>
      </c>
      <c r="H88" s="261"/>
      <c r="I88" s="1044">
        <v>16296.927033148952</v>
      </c>
      <c r="J88" s="1360">
        <v>31925.812084357898</v>
      </c>
      <c r="K88" s="678">
        <v>23191.902359412768</v>
      </c>
      <c r="L88" s="678">
        <v>29359.716923787109</v>
      </c>
      <c r="M88" s="678">
        <f t="shared" si="13"/>
        <v>20953.081872229955</v>
      </c>
      <c r="N88" s="678">
        <f t="shared" si="13"/>
        <v>21851.789623584784</v>
      </c>
      <c r="O88" s="678">
        <f t="shared" si="13"/>
        <v>21822.679557787225</v>
      </c>
      <c r="P88" s="678">
        <f t="shared" si="13"/>
        <v>21793.716171506672</v>
      </c>
      <c r="Q88" s="4"/>
      <c r="R88" s="1341">
        <f t="shared" si="12"/>
        <v>1.4230843834692892</v>
      </c>
    </row>
    <row r="89" spans="1:18" ht="12" customHeight="1">
      <c r="A89" s="206"/>
      <c r="B89" s="239" t="s">
        <v>399</v>
      </c>
      <c r="C89" s="261"/>
      <c r="D89" s="261"/>
      <c r="E89" s="261"/>
      <c r="F89" s="261">
        <v>17102.500343354339</v>
      </c>
      <c r="G89" s="261">
        <v>17102.500343354339</v>
      </c>
      <c r="H89" s="261"/>
      <c r="I89" s="1044">
        <v>14160.659184063492</v>
      </c>
      <c r="J89" s="1360">
        <v>18420.630941722793</v>
      </c>
      <c r="K89" s="678">
        <v>14681.265778688768</v>
      </c>
      <c r="L89" s="678">
        <v>18689.178958830602</v>
      </c>
      <c r="M89" s="678">
        <f>M82/$K$78*$K$85</f>
        <v>13199.840805984091</v>
      </c>
      <c r="N89" s="678">
        <f>N82/$K$78*$K$85</f>
        <v>13782.575654806486</v>
      </c>
      <c r="O89" s="678">
        <f>O82/$K$78*$K$85</f>
        <v>13763.700275389567</v>
      </c>
      <c r="P89" s="678">
        <f>P82/$K$78*$K$85</f>
        <v>13744.920005051248</v>
      </c>
      <c r="Q89" s="4"/>
      <c r="R89" s="1341">
        <f t="shared" si="12"/>
        <v>1.0367642909739097</v>
      </c>
    </row>
    <row r="90" spans="1:18" ht="15" customHeight="1">
      <c r="A90" s="206"/>
      <c r="B90" s="209" t="s">
        <v>506</v>
      </c>
      <c r="C90" s="551">
        <f>C85/2</f>
        <v>10881</v>
      </c>
      <c r="D90" s="551">
        <f>D85/2</f>
        <v>10745.09899</v>
      </c>
      <c r="E90" s="551"/>
      <c r="F90" s="551">
        <v>15696.496637320348</v>
      </c>
      <c r="G90" s="551">
        <v>15696.496637320348</v>
      </c>
      <c r="H90" s="551"/>
      <c r="I90" s="1041">
        <v>15228.793108606222</v>
      </c>
      <c r="J90" s="1356">
        <v>25173.221513040346</v>
      </c>
      <c r="K90" s="1339">
        <v>18936.584069050768</v>
      </c>
      <c r="L90" s="1339">
        <v>24024.447941308856</v>
      </c>
      <c r="M90" s="1339">
        <f>M85/2</f>
        <v>17076.461339107023</v>
      </c>
      <c r="N90" s="380">
        <f>N85/2</f>
        <v>17817.182639195635</v>
      </c>
      <c r="O90" s="380">
        <f>O85/2</f>
        <v>17793.189916588395</v>
      </c>
      <c r="P90" s="380">
        <f>P85/2</f>
        <v>17769.31808827896</v>
      </c>
      <c r="Q90" s="4"/>
      <c r="R90" s="1341">
        <f t="shared" si="12"/>
        <v>1.243472410059151</v>
      </c>
    </row>
    <row r="91" spans="1:18" ht="12" customHeight="1">
      <c r="A91" s="206"/>
      <c r="B91" s="302" t="s">
        <v>382</v>
      </c>
      <c r="C91" s="1042"/>
      <c r="D91" s="1042"/>
      <c r="E91" s="1042"/>
      <c r="F91" s="1042">
        <v>0</v>
      </c>
      <c r="G91" s="1042">
        <v>0</v>
      </c>
      <c r="H91" s="1042"/>
      <c r="I91" s="1042">
        <v>0</v>
      </c>
      <c r="J91" s="1357">
        <v>0</v>
      </c>
      <c r="K91" s="551">
        <v>0</v>
      </c>
      <c r="L91" s="551">
        <v>0</v>
      </c>
      <c r="M91" s="786">
        <f>M46</f>
        <v>0</v>
      </c>
      <c r="N91" s="786">
        <f>N46</f>
        <v>0</v>
      </c>
      <c r="O91" s="786">
        <f>O46</f>
        <v>0</v>
      </c>
      <c r="P91" s="786">
        <f>P46</f>
        <v>0</v>
      </c>
      <c r="Q91" s="4"/>
      <c r="R91" s="1341" t="e">
        <f t="shared" si="12"/>
        <v>#DIV/0!</v>
      </c>
    </row>
    <row r="92" spans="1:18" ht="12" customHeight="1">
      <c r="A92" s="206"/>
      <c r="B92" s="302" t="s">
        <v>486</v>
      </c>
      <c r="C92" s="1083"/>
      <c r="D92" s="1083"/>
      <c r="E92" s="1083"/>
      <c r="F92" s="1083">
        <v>0</v>
      </c>
      <c r="G92" s="1083">
        <v>0</v>
      </c>
      <c r="H92" s="1083"/>
      <c r="I92" s="1042">
        <v>0</v>
      </c>
      <c r="J92" s="1357">
        <v>0</v>
      </c>
      <c r="K92" s="377">
        <v>0</v>
      </c>
      <c r="L92" s="377">
        <v>0</v>
      </c>
      <c r="M92" s="786">
        <f>(M90-M91)*M87/(M85-M86)</f>
        <v>0</v>
      </c>
      <c r="N92" s="786">
        <f>(N90-N91)*N87/(N85-N86)</f>
        <v>0</v>
      </c>
      <c r="O92" s="786">
        <f>(O90-O91)*O87/(O85-O86)</f>
        <v>0</v>
      </c>
      <c r="P92" s="786">
        <f>(P90-P91)*P87/(P85-P86)</f>
        <v>0</v>
      </c>
      <c r="Q92" s="4"/>
      <c r="R92" s="1341" t="e">
        <f t="shared" si="12"/>
        <v>#DIV/0!</v>
      </c>
    </row>
    <row r="93" spans="1:18" ht="12" customHeight="1">
      <c r="A93" s="206"/>
      <c r="B93" s="302" t="s">
        <v>393</v>
      </c>
      <c r="C93" s="1084">
        <f>(C90-C91)*C88/(C85-C86)</f>
        <v>0</v>
      </c>
      <c r="D93" s="1084">
        <f>(D90-D91)*D88/(D85-D86)</f>
        <v>0</v>
      </c>
      <c r="E93" s="1084"/>
      <c r="F93" s="1084">
        <v>7145.2464656431785</v>
      </c>
      <c r="G93" s="1084">
        <v>7145.2464656431785</v>
      </c>
      <c r="H93" s="1084"/>
      <c r="I93" s="1042">
        <v>8148.4635165744758</v>
      </c>
      <c r="J93" s="1357">
        <v>15962.906042178949</v>
      </c>
      <c r="K93" s="377">
        <v>11595.951179706384</v>
      </c>
      <c r="L93" s="377">
        <v>14679.858461893555</v>
      </c>
      <c r="M93" s="786">
        <f>(M90-M91)*M88/(M85-M86)</f>
        <v>10476.540936114978</v>
      </c>
      <c r="N93" s="786">
        <f>(N90-N91)*N88/(N85-N86)</f>
        <v>10925.894811792392</v>
      </c>
      <c r="O93" s="786">
        <f>(O90-O91)*O88/(O85-O86)</f>
        <v>10911.339778893613</v>
      </c>
      <c r="P93" s="786">
        <f>(P90-P91)*P88/(P85-P86)</f>
        <v>10896.858085753336</v>
      </c>
      <c r="Q93" s="4"/>
      <c r="R93" s="1341">
        <f t="shared" si="12"/>
        <v>1.4230843834692892</v>
      </c>
    </row>
    <row r="94" spans="1:18" ht="12" customHeight="1">
      <c r="A94" s="206"/>
      <c r="B94" s="302" t="s">
        <v>399</v>
      </c>
      <c r="C94" s="1084">
        <f>C90-C91-C92-C93</f>
        <v>10881</v>
      </c>
      <c r="D94" s="1084">
        <f>D90-D91-D92-D93</f>
        <v>10745.09899</v>
      </c>
      <c r="E94" s="1084"/>
      <c r="F94" s="1084">
        <v>8551.2501716771694</v>
      </c>
      <c r="G94" s="1084">
        <v>8551.2501716771694</v>
      </c>
      <c r="H94" s="1084"/>
      <c r="I94" s="1042">
        <v>7080.329592031746</v>
      </c>
      <c r="J94" s="1357">
        <v>9210.3154708613965</v>
      </c>
      <c r="K94" s="377">
        <v>7340.6328893443842</v>
      </c>
      <c r="L94" s="377">
        <v>9344.589479415301</v>
      </c>
      <c r="M94" s="786">
        <f>M90-M91-M92-M93</f>
        <v>6599.9204029920456</v>
      </c>
      <c r="N94" s="786">
        <f>N90-N91-N92-N93</f>
        <v>6891.2878274032428</v>
      </c>
      <c r="O94" s="786">
        <f>O90-O91-O92-O93</f>
        <v>6881.8501376947825</v>
      </c>
      <c r="P94" s="786">
        <f>P90-P91-P92-P93</f>
        <v>6872.4600025256241</v>
      </c>
      <c r="Q94" s="4"/>
      <c r="R94" s="1341">
        <f t="shared" si="12"/>
        <v>1.0367642909739097</v>
      </c>
    </row>
    <row r="95" spans="1:18" ht="15.75" customHeight="1">
      <c r="A95" s="206"/>
      <c r="B95" s="209" t="s">
        <v>507</v>
      </c>
      <c r="C95" s="551">
        <f>C85-C90</f>
        <v>10881</v>
      </c>
      <c r="D95" s="551">
        <f>D85-D90</f>
        <v>10745.09899</v>
      </c>
      <c r="E95" s="551"/>
      <c r="F95" s="551">
        <v>15696.496637320348</v>
      </c>
      <c r="G95" s="551">
        <v>15696.496637320348</v>
      </c>
      <c r="H95" s="551"/>
      <c r="I95" s="1041">
        <v>15228.793108606222</v>
      </c>
      <c r="J95" s="1356">
        <v>25173.221513040346</v>
      </c>
      <c r="K95" s="1339">
        <v>18936.584069050768</v>
      </c>
      <c r="L95" s="1339">
        <v>24024.447941308856</v>
      </c>
      <c r="M95" s="1339">
        <f t="shared" ref="M95:P99" si="14">M85-M90</f>
        <v>17076.461339107023</v>
      </c>
      <c r="N95" s="380">
        <f t="shared" si="14"/>
        <v>17817.182639195635</v>
      </c>
      <c r="O95" s="380">
        <f t="shared" si="14"/>
        <v>17793.189916588395</v>
      </c>
      <c r="P95" s="380">
        <f t="shared" si="14"/>
        <v>17769.31808827896</v>
      </c>
      <c r="Q95" s="4"/>
      <c r="R95" s="1341">
        <f t="shared" si="12"/>
        <v>1.243472410059151</v>
      </c>
    </row>
    <row r="96" spans="1:18" ht="13.5" customHeight="1">
      <c r="A96" s="206"/>
      <c r="B96" s="239" t="s">
        <v>382</v>
      </c>
      <c r="C96" s="1084">
        <f>C86-C91</f>
        <v>0</v>
      </c>
      <c r="D96" s="1084">
        <f>D86-D91</f>
        <v>0</v>
      </c>
      <c r="E96" s="1084"/>
      <c r="F96" s="1084">
        <v>0</v>
      </c>
      <c r="G96" s="1084">
        <v>0</v>
      </c>
      <c r="H96" s="1084"/>
      <c r="I96" s="1042">
        <v>0</v>
      </c>
      <c r="J96" s="1357">
        <v>0</v>
      </c>
      <c r="K96" s="377">
        <v>0</v>
      </c>
      <c r="L96" s="377">
        <v>0</v>
      </c>
      <c r="M96" s="786">
        <f>M86-M91</f>
        <v>0</v>
      </c>
      <c r="N96" s="786">
        <f t="shared" si="14"/>
        <v>0</v>
      </c>
      <c r="O96" s="786">
        <f t="shared" si="14"/>
        <v>0</v>
      </c>
      <c r="P96" s="786">
        <f t="shared" si="14"/>
        <v>0</v>
      </c>
      <c r="Q96" s="4"/>
      <c r="R96" s="1341" t="e">
        <f t="shared" si="12"/>
        <v>#DIV/0!</v>
      </c>
    </row>
    <row r="97" spans="1:29" ht="13.5" customHeight="1">
      <c r="A97" s="206"/>
      <c r="B97" s="239" t="s">
        <v>486</v>
      </c>
      <c r="C97" s="1084">
        <f t="shared" ref="C97:D98" si="15">C87-C92</f>
        <v>0</v>
      </c>
      <c r="D97" s="1084">
        <f t="shared" si="15"/>
        <v>0</v>
      </c>
      <c r="E97" s="1084"/>
      <c r="F97" s="1084">
        <v>0</v>
      </c>
      <c r="G97" s="1084">
        <v>0</v>
      </c>
      <c r="H97" s="1084"/>
      <c r="I97" s="1042">
        <v>0</v>
      </c>
      <c r="J97" s="1357">
        <v>0</v>
      </c>
      <c r="K97" s="377">
        <v>0</v>
      </c>
      <c r="L97" s="377">
        <v>0</v>
      </c>
      <c r="M97" s="786">
        <f t="shared" si="14"/>
        <v>0</v>
      </c>
      <c r="N97" s="786">
        <f t="shared" si="14"/>
        <v>0</v>
      </c>
      <c r="O97" s="786">
        <f t="shared" si="14"/>
        <v>0</v>
      </c>
      <c r="P97" s="786">
        <f t="shared" si="14"/>
        <v>0</v>
      </c>
      <c r="Q97" s="4"/>
      <c r="R97" s="1341" t="e">
        <f t="shared" si="12"/>
        <v>#DIV/0!</v>
      </c>
    </row>
    <row r="98" spans="1:29" ht="13.5" customHeight="1">
      <c r="A98" s="206"/>
      <c r="B98" s="239" t="s">
        <v>393</v>
      </c>
      <c r="C98" s="1084">
        <f t="shared" si="15"/>
        <v>0</v>
      </c>
      <c r="D98" s="1084">
        <f t="shared" si="15"/>
        <v>0</v>
      </c>
      <c r="E98" s="1084"/>
      <c r="F98" s="1084">
        <v>7145.2464656431785</v>
      </c>
      <c r="G98" s="1084">
        <v>7145.2464656431785</v>
      </c>
      <c r="H98" s="1084"/>
      <c r="I98" s="1042">
        <v>8148.4635165744758</v>
      </c>
      <c r="J98" s="1357">
        <v>15962.906042178949</v>
      </c>
      <c r="K98" s="377">
        <v>11595.951179706384</v>
      </c>
      <c r="L98" s="377">
        <v>14679.858461893555</v>
      </c>
      <c r="M98" s="786">
        <f t="shared" si="14"/>
        <v>10476.540936114978</v>
      </c>
      <c r="N98" s="786">
        <f t="shared" si="14"/>
        <v>10925.894811792392</v>
      </c>
      <c r="O98" s="786">
        <f t="shared" si="14"/>
        <v>10911.339778893613</v>
      </c>
      <c r="P98" s="786">
        <f t="shared" si="14"/>
        <v>10896.858085753336</v>
      </c>
      <c r="Q98" s="4"/>
      <c r="R98" s="1341">
        <f t="shared" si="12"/>
        <v>1.4230843834692892</v>
      </c>
    </row>
    <row r="99" spans="1:29" ht="13.5" customHeight="1">
      <c r="A99" s="206"/>
      <c r="B99" s="239" t="s">
        <v>399</v>
      </c>
      <c r="C99" s="1084">
        <f>C95-C98</f>
        <v>10881</v>
      </c>
      <c r="D99" s="1084">
        <f>D95-D98</f>
        <v>10745.09899</v>
      </c>
      <c r="E99" s="1084"/>
      <c r="F99" s="1084">
        <v>8551.2501716771694</v>
      </c>
      <c r="G99" s="1084">
        <v>8551.2501716771694</v>
      </c>
      <c r="H99" s="1084"/>
      <c r="I99" s="1042">
        <v>7080.329592031746</v>
      </c>
      <c r="J99" s="1357">
        <v>9210.3154708613965</v>
      </c>
      <c r="K99" s="377">
        <v>7340.6328893443842</v>
      </c>
      <c r="L99" s="377">
        <v>9344.589479415301</v>
      </c>
      <c r="M99" s="786">
        <f t="shared" si="14"/>
        <v>6599.9204029920456</v>
      </c>
      <c r="N99" s="786">
        <f t="shared" si="14"/>
        <v>6891.2878274032428</v>
      </c>
      <c r="O99" s="786">
        <f t="shared" si="14"/>
        <v>6881.8501376947843</v>
      </c>
      <c r="P99" s="786">
        <f t="shared" si="14"/>
        <v>6872.4600025256241</v>
      </c>
      <c r="Q99" s="4"/>
      <c r="R99" s="1341">
        <f t="shared" si="12"/>
        <v>1.0367642909739097</v>
      </c>
    </row>
    <row r="100" spans="1:29" ht="24" customHeight="1">
      <c r="A100" s="206"/>
      <c r="B100" s="209" t="s">
        <v>48</v>
      </c>
      <c r="C100" s="304">
        <f>C23</f>
        <v>15587.199199999999</v>
      </c>
      <c r="D100" s="304">
        <f>D23</f>
        <v>14787.39718</v>
      </c>
      <c r="E100" s="304"/>
      <c r="F100" s="304">
        <v>23543.026340400025</v>
      </c>
      <c r="G100" s="304">
        <v>23543.026340400025</v>
      </c>
      <c r="H100" s="304"/>
      <c r="I100" s="1044">
        <v>24909.794309199373</v>
      </c>
      <c r="J100" s="1360">
        <v>38971.886491029625</v>
      </c>
      <c r="K100" s="552">
        <v>25545.44060696449</v>
      </c>
      <c r="L100" s="552">
        <v>28557.878172924924</v>
      </c>
      <c r="M100" s="787">
        <f>M18*M129</f>
        <v>25470.706542431551</v>
      </c>
      <c r="N100" s="787">
        <f>N18*N129</f>
        <v>25405.501533682924</v>
      </c>
      <c r="O100" s="787">
        <f>O18*O129</f>
        <v>25364.852731229032</v>
      </c>
      <c r="P100" s="787">
        <f>P18*P129</f>
        <v>25324.268966859065</v>
      </c>
      <c r="Q100" s="4"/>
      <c r="R100" s="1341">
        <f t="shared" si="12"/>
        <v>1.025517926397745</v>
      </c>
    </row>
    <row r="101" spans="1:29" ht="15.75" customHeight="1">
      <c r="A101" s="206"/>
      <c r="B101" s="210"/>
      <c r="C101" s="261"/>
      <c r="D101" s="261"/>
      <c r="E101" s="261"/>
      <c r="F101" s="261"/>
      <c r="G101" s="261"/>
      <c r="H101" s="261"/>
      <c r="I101" s="1041"/>
      <c r="J101" s="1356"/>
      <c r="K101" s="219"/>
      <c r="L101" s="219"/>
      <c r="M101" s="219"/>
      <c r="N101" s="219"/>
      <c r="O101" s="260"/>
      <c r="P101" s="672"/>
      <c r="Q101" s="4"/>
      <c r="R101" s="1341" t="e">
        <f t="shared" si="12"/>
        <v>#DIV/0!</v>
      </c>
    </row>
    <row r="102" spans="1:29" ht="15.75" customHeight="1">
      <c r="A102" s="211"/>
      <c r="B102" s="212" t="s">
        <v>31</v>
      </c>
      <c r="C102" s="304">
        <f t="shared" ref="C102:P102" si="16">SUM(C103:C104)</f>
        <v>27161.073</v>
      </c>
      <c r="D102" s="304">
        <f t="shared" si="16"/>
        <v>28700.554</v>
      </c>
      <c r="E102" s="304">
        <v>28701</v>
      </c>
      <c r="F102" s="304">
        <v>27662</v>
      </c>
      <c r="G102" s="304">
        <v>29128</v>
      </c>
      <c r="H102" s="304">
        <v>29128</v>
      </c>
      <c r="I102" s="1044">
        <v>27162</v>
      </c>
      <c r="J102" s="1360">
        <v>28707</v>
      </c>
      <c r="K102" s="304">
        <v>28707</v>
      </c>
      <c r="L102" s="304">
        <v>29166</v>
      </c>
      <c r="M102" s="304">
        <f t="shared" si="16"/>
        <v>29166</v>
      </c>
      <c r="N102" s="304">
        <f t="shared" si="16"/>
        <v>29166</v>
      </c>
      <c r="O102" s="304">
        <f t="shared" si="16"/>
        <v>29166</v>
      </c>
      <c r="P102" s="304">
        <f t="shared" si="16"/>
        <v>29166</v>
      </c>
      <c r="Q102" s="4" t="s">
        <v>827</v>
      </c>
      <c r="R102" s="1341">
        <f t="shared" si="12"/>
        <v>1.0568809366026066</v>
      </c>
      <c r="Z102">
        <f>'[10]Форма 3.1(свод)'!$AM$48*1000</f>
        <v>29166</v>
      </c>
      <c r="AA102">
        <v>29166</v>
      </c>
      <c r="AB102" s="1140">
        <f>M102-Z102</f>
        <v>0</v>
      </c>
      <c r="AC102">
        <f>Z102-AA102</f>
        <v>0</v>
      </c>
    </row>
    <row r="103" spans="1:29" ht="15.75" customHeight="1">
      <c r="A103" s="211"/>
      <c r="B103" s="212" t="s">
        <v>506</v>
      </c>
      <c r="C103" s="1042">
        <v>13700.625</v>
      </c>
      <c r="D103" s="298">
        <f>D106</f>
        <v>14400.162</v>
      </c>
      <c r="E103" s="298"/>
      <c r="F103" s="298">
        <v>13760</v>
      </c>
      <c r="G103" s="298">
        <v>14303.53239922397</v>
      </c>
      <c r="H103" s="298"/>
      <c r="I103" s="1042">
        <v>13701</v>
      </c>
      <c r="J103" s="1357">
        <v>14453.000000000002</v>
      </c>
      <c r="K103" s="299">
        <v>14453.000000000002</v>
      </c>
      <c r="L103" s="299">
        <v>14601</v>
      </c>
      <c r="M103" s="299">
        <v>14601</v>
      </c>
      <c r="N103" s="299">
        <f t="shared" ref="N103:P103" si="17">M103</f>
        <v>14601</v>
      </c>
      <c r="O103" s="299">
        <f t="shared" si="17"/>
        <v>14601</v>
      </c>
      <c r="P103" s="299">
        <f t="shared" si="17"/>
        <v>14601</v>
      </c>
      <c r="Q103" s="4" t="s">
        <v>827</v>
      </c>
      <c r="R103" s="1341">
        <f t="shared" si="12"/>
        <v>1.0548865046346982</v>
      </c>
      <c r="Z103">
        <f>SUM('[10]Форма 3.1(свод)'!$AA$48:$AF$48)*1000</f>
        <v>14601</v>
      </c>
      <c r="AA103">
        <v>14601</v>
      </c>
      <c r="AB103" s="1140">
        <f t="shared" ref="AB103:AB104" si="18">M103-Z103</f>
        <v>0</v>
      </c>
      <c r="AC103" s="1446">
        <f t="shared" ref="AC103:AC104" si="19">Z103-AA103</f>
        <v>0</v>
      </c>
    </row>
    <row r="104" spans="1:29" ht="15.75" customHeight="1">
      <c r="A104" s="211"/>
      <c r="B104" s="212" t="s">
        <v>507</v>
      </c>
      <c r="C104" s="1042">
        <v>13460.448</v>
      </c>
      <c r="D104" s="298">
        <f>D107</f>
        <v>14300.392</v>
      </c>
      <c r="E104" s="298"/>
      <c r="F104" s="298">
        <v>13902</v>
      </c>
      <c r="G104" s="298">
        <v>14824.46760077603</v>
      </c>
      <c r="H104" s="298"/>
      <c r="I104" s="1042">
        <v>13461</v>
      </c>
      <c r="J104" s="1357">
        <v>14254</v>
      </c>
      <c r="K104" s="299">
        <v>14254</v>
      </c>
      <c r="L104" s="299">
        <v>14565.000000000002</v>
      </c>
      <c r="M104" s="299">
        <v>14565.000000000002</v>
      </c>
      <c r="N104" s="299">
        <f t="shared" ref="N104:P104" si="20">M104</f>
        <v>14565.000000000002</v>
      </c>
      <c r="O104" s="299">
        <f t="shared" si="20"/>
        <v>14565.000000000002</v>
      </c>
      <c r="P104" s="299">
        <f t="shared" si="20"/>
        <v>14565.000000000002</v>
      </c>
      <c r="Q104" s="4" t="s">
        <v>827</v>
      </c>
      <c r="R104" s="1341">
        <f t="shared" si="12"/>
        <v>1.0589109278656861</v>
      </c>
      <c r="Z104">
        <f>SUM('[10]Форма 3.1(свод)'!$AG$48:$AL$48)*1000</f>
        <v>14565.000000000002</v>
      </c>
      <c r="AA104">
        <v>14565.000000000002</v>
      </c>
      <c r="AB104" s="1140">
        <f t="shared" si="18"/>
        <v>0</v>
      </c>
      <c r="AC104" s="1446">
        <f t="shared" si="19"/>
        <v>0</v>
      </c>
    </row>
    <row r="105" spans="1:29" ht="15.75" customHeight="1">
      <c r="A105" s="211"/>
      <c r="B105" s="212" t="s">
        <v>16</v>
      </c>
      <c r="C105" s="261">
        <f>SUM(C106:C107)</f>
        <v>27161.073</v>
      </c>
      <c r="D105" s="261">
        <f>SUM(D106:D107)</f>
        <v>28700.554</v>
      </c>
      <c r="E105" s="261">
        <v>28701</v>
      </c>
      <c r="F105" s="261">
        <v>27662</v>
      </c>
      <c r="G105" s="261">
        <v>29128</v>
      </c>
      <c r="H105" s="261">
        <v>29128</v>
      </c>
      <c r="I105" s="1041">
        <v>27162</v>
      </c>
      <c r="J105" s="1356">
        <v>28707</v>
      </c>
      <c r="K105" s="261">
        <v>28707</v>
      </c>
      <c r="L105" s="261">
        <v>28707</v>
      </c>
      <c r="M105" s="261">
        <f t="shared" ref="M105:P105" si="21">SUM(M106:M107)</f>
        <v>29166</v>
      </c>
      <c r="N105" s="261">
        <f t="shared" si="21"/>
        <v>29166</v>
      </c>
      <c r="O105" s="261">
        <f t="shared" si="21"/>
        <v>29166</v>
      </c>
      <c r="P105" s="261">
        <f t="shared" si="21"/>
        <v>29166</v>
      </c>
      <c r="Q105" s="4"/>
      <c r="R105" s="1341">
        <f t="shared" si="12"/>
        <v>1.0568809366026066</v>
      </c>
    </row>
    <row r="106" spans="1:29" ht="15.75" customHeight="1">
      <c r="A106" s="211"/>
      <c r="B106" s="212" t="s">
        <v>506</v>
      </c>
      <c r="C106" s="1042">
        <v>13700.625</v>
      </c>
      <c r="D106" s="298">
        <v>14400.162</v>
      </c>
      <c r="E106" s="298"/>
      <c r="F106" s="298">
        <v>13760</v>
      </c>
      <c r="G106" s="298">
        <v>14303.53239922397</v>
      </c>
      <c r="H106" s="298"/>
      <c r="I106" s="1042">
        <v>13701</v>
      </c>
      <c r="J106" s="1357">
        <v>14453.000000000002</v>
      </c>
      <c r="K106" s="299">
        <v>14453.000000000002</v>
      </c>
      <c r="L106" s="299">
        <v>14453.000000000002</v>
      </c>
      <c r="M106" s="299">
        <v>14600.999999999998</v>
      </c>
      <c r="N106" s="299">
        <f t="shared" ref="N106:P106" si="22">M106</f>
        <v>14600.999999999998</v>
      </c>
      <c r="O106" s="299">
        <f t="shared" si="22"/>
        <v>14600.999999999998</v>
      </c>
      <c r="P106" s="299">
        <f t="shared" si="22"/>
        <v>14600.999999999998</v>
      </c>
      <c r="Q106" s="4"/>
      <c r="R106" s="1341">
        <f t="shared" si="12"/>
        <v>1.0548865046346982</v>
      </c>
    </row>
    <row r="107" spans="1:29" ht="15.75" customHeight="1">
      <c r="A107" s="211"/>
      <c r="B107" s="212" t="s">
        <v>507</v>
      </c>
      <c r="C107" s="1042">
        <v>13460.448</v>
      </c>
      <c r="D107" s="298">
        <v>14300.392</v>
      </c>
      <c r="E107" s="298"/>
      <c r="F107" s="298">
        <v>13902</v>
      </c>
      <c r="G107" s="298">
        <v>14824.46760077603</v>
      </c>
      <c r="H107" s="298"/>
      <c r="I107" s="1042">
        <v>13461</v>
      </c>
      <c r="J107" s="1357">
        <v>14254</v>
      </c>
      <c r="K107" s="299">
        <v>14254</v>
      </c>
      <c r="L107" s="299">
        <v>14254</v>
      </c>
      <c r="M107" s="299">
        <v>14565</v>
      </c>
      <c r="N107" s="299">
        <f t="shared" ref="N107:P107" si="23">M107</f>
        <v>14565</v>
      </c>
      <c r="O107" s="299">
        <f t="shared" si="23"/>
        <v>14565</v>
      </c>
      <c r="P107" s="299">
        <f t="shared" si="23"/>
        <v>14565</v>
      </c>
      <c r="Q107" s="4"/>
      <c r="R107" s="1341">
        <f t="shared" si="12"/>
        <v>1.0589109278656861</v>
      </c>
    </row>
    <row r="108" spans="1:29" ht="24.75" customHeight="1">
      <c r="A108" s="512"/>
      <c r="B108" s="4" t="s">
        <v>32</v>
      </c>
      <c r="C108" s="1085">
        <f>C114+C119</f>
        <v>5969.21</v>
      </c>
      <c r="D108" s="1085">
        <f>D114+D119</f>
        <v>6330.0049999999992</v>
      </c>
      <c r="E108" s="1085">
        <v>6330</v>
      </c>
      <c r="F108" s="1085">
        <v>4639</v>
      </c>
      <c r="G108" s="1085">
        <v>6474</v>
      </c>
      <c r="H108" s="1085">
        <v>6474</v>
      </c>
      <c r="I108" s="1085">
        <v>4555.0000000000009</v>
      </c>
      <c r="J108" s="1363">
        <v>5640.0035639810421</v>
      </c>
      <c r="K108" s="554">
        <v>5640</v>
      </c>
      <c r="L108" s="554">
        <v>5731</v>
      </c>
      <c r="M108" s="554">
        <v>5731</v>
      </c>
      <c r="N108" s="554">
        <f t="shared" ref="N108:P108" si="24">M108</f>
        <v>5731</v>
      </c>
      <c r="O108" s="554">
        <f t="shared" si="24"/>
        <v>5731</v>
      </c>
      <c r="P108" s="554">
        <f t="shared" si="24"/>
        <v>5731</v>
      </c>
      <c r="Q108" s="4" t="s">
        <v>833</v>
      </c>
      <c r="R108" s="1448">
        <f>M108-M109</f>
        <v>0</v>
      </c>
    </row>
    <row r="109" spans="1:29" ht="43.5" customHeight="1">
      <c r="A109" s="512"/>
      <c r="B109" s="688" t="s">
        <v>785</v>
      </c>
      <c r="C109" s="262">
        <f t="shared" ref="C109:D113" si="25">C114+C119</f>
        <v>5969.21</v>
      </c>
      <c r="D109" s="262">
        <f t="shared" si="25"/>
        <v>6330.0049999999992</v>
      </c>
      <c r="E109" s="262">
        <v>6330</v>
      </c>
      <c r="F109" s="262">
        <v>4639</v>
      </c>
      <c r="G109" s="262">
        <v>6474</v>
      </c>
      <c r="H109" s="262">
        <v>6474</v>
      </c>
      <c r="I109" s="557">
        <v>4555.0000000000009</v>
      </c>
      <c r="J109" s="1348">
        <v>5640.0035639810421</v>
      </c>
      <c r="K109" s="262">
        <v>5640</v>
      </c>
      <c r="L109" s="262">
        <v>5731</v>
      </c>
      <c r="M109" s="262">
        <f>M114+M119</f>
        <v>5731</v>
      </c>
      <c r="N109" s="262">
        <f>N114+N119</f>
        <v>5731</v>
      </c>
      <c r="O109" s="262">
        <f>O114+O119</f>
        <v>5731</v>
      </c>
      <c r="P109" s="262">
        <f>P114+P119</f>
        <v>5731</v>
      </c>
      <c r="Q109" s="4" t="s">
        <v>1460</v>
      </c>
      <c r="R109" s="1342"/>
      <c r="AA109">
        <v>5731</v>
      </c>
      <c r="AB109" s="1140">
        <f>M109-AA109</f>
        <v>0</v>
      </c>
    </row>
    <row r="110" spans="1:29" ht="13.5" customHeight="1">
      <c r="A110" s="206"/>
      <c r="B110" s="215" t="s">
        <v>382</v>
      </c>
      <c r="C110" s="262">
        <f t="shared" si="25"/>
        <v>0</v>
      </c>
      <c r="D110" s="262">
        <f t="shared" si="25"/>
        <v>0</v>
      </c>
      <c r="E110" s="262"/>
      <c r="F110" s="262">
        <v>0</v>
      </c>
      <c r="G110" s="262">
        <v>0</v>
      </c>
      <c r="H110" s="262"/>
      <c r="I110" s="557">
        <v>0</v>
      </c>
      <c r="J110" s="1348">
        <v>0</v>
      </c>
      <c r="K110" s="262">
        <v>0</v>
      </c>
      <c r="L110" s="262">
        <v>0</v>
      </c>
      <c r="M110" s="262">
        <f t="shared" ref="M110:P111" si="26">M115+M120</f>
        <v>0</v>
      </c>
      <c r="N110" s="262">
        <f t="shared" si="26"/>
        <v>0</v>
      </c>
      <c r="O110" s="262">
        <f t="shared" si="26"/>
        <v>0</v>
      </c>
      <c r="P110" s="262">
        <f t="shared" si="26"/>
        <v>0</v>
      </c>
      <c r="Q110" s="4"/>
      <c r="R110" s="1342"/>
      <c r="AA110">
        <v>0</v>
      </c>
      <c r="AB110" s="1140"/>
    </row>
    <row r="111" spans="1:29" ht="13.5" customHeight="1">
      <c r="A111" s="206"/>
      <c r="B111" s="239" t="s">
        <v>392</v>
      </c>
      <c r="C111" s="262">
        <f t="shared" si="25"/>
        <v>0</v>
      </c>
      <c r="D111" s="262">
        <f t="shared" si="25"/>
        <v>0</v>
      </c>
      <c r="E111" s="262"/>
      <c r="F111" s="262">
        <v>0</v>
      </c>
      <c r="G111" s="262">
        <v>0</v>
      </c>
      <c r="H111" s="262"/>
      <c r="I111" s="557">
        <v>0</v>
      </c>
      <c r="J111" s="1348">
        <v>0</v>
      </c>
      <c r="K111" s="262">
        <v>0</v>
      </c>
      <c r="L111" s="262">
        <v>0</v>
      </c>
      <c r="M111" s="262">
        <f t="shared" si="26"/>
        <v>0</v>
      </c>
      <c r="N111" s="262">
        <f t="shared" si="26"/>
        <v>0</v>
      </c>
      <c r="O111" s="262">
        <f t="shared" si="26"/>
        <v>0</v>
      </c>
      <c r="P111" s="262">
        <f t="shared" si="26"/>
        <v>0</v>
      </c>
      <c r="Q111" s="4"/>
      <c r="R111" s="1342"/>
      <c r="AA111">
        <v>0</v>
      </c>
      <c r="AB111" s="1140">
        <f t="shared" ref="AB111:AB114" si="27">M111-AA111</f>
        <v>0</v>
      </c>
    </row>
    <row r="112" spans="1:29" ht="13.5" customHeight="1">
      <c r="A112" s="206"/>
      <c r="B112" s="215" t="s">
        <v>393</v>
      </c>
      <c r="C112" s="262">
        <f t="shared" si="25"/>
        <v>0</v>
      </c>
      <c r="D112" s="262">
        <f t="shared" si="25"/>
        <v>0</v>
      </c>
      <c r="E112" s="262"/>
      <c r="F112" s="262">
        <v>1379.5</v>
      </c>
      <c r="G112" s="262">
        <v>1925.1741754688512</v>
      </c>
      <c r="H112" s="262"/>
      <c r="I112" s="557">
        <v>1583.9354685828712</v>
      </c>
      <c r="J112" s="1348">
        <v>2158.8552322274882</v>
      </c>
      <c r="K112" s="262">
        <v>2158.8552322274882</v>
      </c>
      <c r="L112" s="262">
        <v>2193.686439297669</v>
      </c>
      <c r="M112" s="262">
        <f t="shared" ref="M112:P113" si="28">M117+M122</f>
        <v>2193.686439297669</v>
      </c>
      <c r="N112" s="262">
        <f t="shared" si="28"/>
        <v>2193.686439297669</v>
      </c>
      <c r="O112" s="262">
        <f t="shared" si="28"/>
        <v>2193.686439297669</v>
      </c>
      <c r="P112" s="262">
        <f t="shared" si="28"/>
        <v>2193.686439297669</v>
      </c>
      <c r="Q112" s="4"/>
      <c r="R112" s="1342"/>
      <c r="AA112">
        <v>2193.686439297669</v>
      </c>
      <c r="AB112" s="1140">
        <f t="shared" si="27"/>
        <v>0</v>
      </c>
    </row>
    <row r="113" spans="1:28" ht="13.5" customHeight="1">
      <c r="A113" s="206"/>
      <c r="B113" s="215" t="s">
        <v>399</v>
      </c>
      <c r="C113" s="262">
        <f t="shared" si="25"/>
        <v>0</v>
      </c>
      <c r="D113" s="262">
        <f t="shared" si="25"/>
        <v>0</v>
      </c>
      <c r="E113" s="262"/>
      <c r="F113" s="262">
        <v>3259.5</v>
      </c>
      <c r="G113" s="262">
        <v>4548.825824531149</v>
      </c>
      <c r="H113" s="262"/>
      <c r="I113" s="557">
        <v>2971.0645314171297</v>
      </c>
      <c r="J113" s="1348">
        <v>3481.148331753554</v>
      </c>
      <c r="K113" s="262">
        <v>3481.1447677725123</v>
      </c>
      <c r="L113" s="262">
        <v>3537.3135607023314</v>
      </c>
      <c r="M113" s="262">
        <f t="shared" si="28"/>
        <v>3537.313560702331</v>
      </c>
      <c r="N113" s="262">
        <f t="shared" si="28"/>
        <v>3537.313560702331</v>
      </c>
      <c r="O113" s="262">
        <f t="shared" si="28"/>
        <v>3537.313560702331</v>
      </c>
      <c r="P113" s="262">
        <f t="shared" si="28"/>
        <v>3537.313560702331</v>
      </c>
      <c r="Q113" s="4"/>
      <c r="R113" s="1342"/>
      <c r="AA113">
        <v>3537.313560702331</v>
      </c>
      <c r="AB113" s="1140">
        <f t="shared" si="27"/>
        <v>0</v>
      </c>
    </row>
    <row r="114" spans="1:28" ht="15" customHeight="1">
      <c r="A114" s="206"/>
      <c r="B114" s="303" t="s">
        <v>506</v>
      </c>
      <c r="C114" s="1048">
        <v>2794.5880000000002</v>
      </c>
      <c r="D114" s="555">
        <v>3130.5659999999998</v>
      </c>
      <c r="E114" s="555"/>
      <c r="F114" s="555">
        <v>2307.6999999999998</v>
      </c>
      <c r="G114" s="555">
        <v>3220.5323992239705</v>
      </c>
      <c r="H114" s="555"/>
      <c r="I114" s="1048">
        <v>2296.9999999999991</v>
      </c>
      <c r="J114" s="1364">
        <v>2840.0017946287517</v>
      </c>
      <c r="K114" s="555">
        <v>2840</v>
      </c>
      <c r="L114" s="555">
        <v>2869</v>
      </c>
      <c r="M114" s="555">
        <f t="shared" ref="M114:P114" si="29">SUM(M115:M118)</f>
        <v>2869</v>
      </c>
      <c r="N114" s="555">
        <f t="shared" si="29"/>
        <v>2869</v>
      </c>
      <c r="O114" s="555">
        <f t="shared" si="29"/>
        <v>2869</v>
      </c>
      <c r="P114" s="555">
        <f t="shared" si="29"/>
        <v>2869</v>
      </c>
      <c r="Q114" s="4"/>
      <c r="R114" s="1342"/>
      <c r="AA114">
        <v>2869</v>
      </c>
      <c r="AB114" s="1140">
        <f t="shared" si="27"/>
        <v>0</v>
      </c>
    </row>
    <row r="115" spans="1:28" ht="15" customHeight="1">
      <c r="A115" s="206"/>
      <c r="B115" s="301" t="s">
        <v>382</v>
      </c>
      <c r="C115" s="306"/>
      <c r="D115" s="306"/>
      <c r="E115" s="306"/>
      <c r="F115" s="306"/>
      <c r="G115" s="306"/>
      <c r="H115" s="306"/>
      <c r="I115" s="1036"/>
      <c r="J115" s="1351"/>
      <c r="K115" s="556"/>
      <c r="L115" s="556"/>
      <c r="M115" s="556"/>
      <c r="N115" s="556"/>
      <c r="O115" s="556"/>
      <c r="P115" s="1384"/>
      <c r="Q115" s="4"/>
      <c r="R115" s="1342"/>
    </row>
    <row r="116" spans="1:28" ht="15" customHeight="1">
      <c r="A116" s="206"/>
      <c r="B116" s="302" t="s">
        <v>392</v>
      </c>
      <c r="C116" s="306"/>
      <c r="D116" s="306"/>
      <c r="E116" s="306"/>
      <c r="F116" s="306"/>
      <c r="G116" s="306"/>
      <c r="H116" s="306"/>
      <c r="I116" s="1036"/>
      <c r="J116" s="1351"/>
      <c r="K116" s="556"/>
      <c r="L116" s="556"/>
      <c r="M116" s="556"/>
      <c r="N116" s="556"/>
      <c r="O116" s="556"/>
      <c r="P116" s="1384"/>
      <c r="Q116" s="4"/>
      <c r="R116" s="1342"/>
    </row>
    <row r="117" spans="1:28" ht="15" customHeight="1">
      <c r="A117" s="206"/>
      <c r="B117" s="301" t="s">
        <v>393</v>
      </c>
      <c r="C117" s="306"/>
      <c r="D117" s="306"/>
      <c r="E117" s="306"/>
      <c r="F117" s="306">
        <v>686.2</v>
      </c>
      <c r="G117" s="306"/>
      <c r="H117" s="306"/>
      <c r="I117" s="1036">
        <v>798.74857768053903</v>
      </c>
      <c r="J117" s="1351">
        <v>1087.083131121643</v>
      </c>
      <c r="K117" s="556">
        <v>1087.083131121643</v>
      </c>
      <c r="L117" s="556">
        <v>1098.182933928636</v>
      </c>
      <c r="M117" s="556">
        <v>1098.182933928636</v>
      </c>
      <c r="N117" s="556">
        <f t="shared" ref="N117:P117" si="30">M117</f>
        <v>1098.182933928636</v>
      </c>
      <c r="O117" s="556">
        <f t="shared" si="30"/>
        <v>1098.182933928636</v>
      </c>
      <c r="P117" s="556">
        <f t="shared" si="30"/>
        <v>1098.182933928636</v>
      </c>
      <c r="Q117" s="4"/>
      <c r="R117" s="1342"/>
      <c r="AA117">
        <v>1098.182933928636</v>
      </c>
      <c r="AB117" s="1140">
        <f t="shared" ref="AB117:AB128" si="31">M117-AA117</f>
        <v>0</v>
      </c>
    </row>
    <row r="118" spans="1:28" ht="15" customHeight="1">
      <c r="A118" s="206"/>
      <c r="B118" s="301" t="s">
        <v>399</v>
      </c>
      <c r="C118" s="306"/>
      <c r="D118" s="306"/>
      <c r="E118" s="306"/>
      <c r="F118" s="306">
        <v>1621.5</v>
      </c>
      <c r="G118" s="306"/>
      <c r="H118" s="306"/>
      <c r="I118" s="1036">
        <v>1498.2514223194601</v>
      </c>
      <c r="J118" s="1351">
        <v>1752.9186635071087</v>
      </c>
      <c r="K118" s="556">
        <v>1752.916868878357</v>
      </c>
      <c r="L118" s="556">
        <v>1770.8170660713643</v>
      </c>
      <c r="M118" s="556">
        <v>1770.817066071364</v>
      </c>
      <c r="N118" s="556">
        <f t="shared" ref="N118:P118" si="32">M118</f>
        <v>1770.817066071364</v>
      </c>
      <c r="O118" s="556">
        <f t="shared" si="32"/>
        <v>1770.817066071364</v>
      </c>
      <c r="P118" s="556">
        <f t="shared" si="32"/>
        <v>1770.817066071364</v>
      </c>
      <c r="Q118" s="4"/>
      <c r="R118" s="1342"/>
      <c r="AA118">
        <v>1770.817066071364</v>
      </c>
      <c r="AB118" s="1140">
        <f t="shared" si="31"/>
        <v>0</v>
      </c>
    </row>
    <row r="119" spans="1:28" ht="15.75" customHeight="1">
      <c r="A119" s="206"/>
      <c r="B119" s="303" t="s">
        <v>507</v>
      </c>
      <c r="C119" s="1048">
        <v>3174.6219999999998</v>
      </c>
      <c r="D119" s="555">
        <v>3199.4389999999999</v>
      </c>
      <c r="E119" s="555"/>
      <c r="F119" s="555">
        <v>2331.3000000000002</v>
      </c>
      <c r="G119" s="555">
        <v>3253.4676007760295</v>
      </c>
      <c r="H119" s="555"/>
      <c r="I119" s="1048">
        <v>2258.0000000000018</v>
      </c>
      <c r="J119" s="1364">
        <v>2800.0017693522905</v>
      </c>
      <c r="K119" s="555">
        <v>2800.0000000000005</v>
      </c>
      <c r="L119" s="555">
        <v>2862</v>
      </c>
      <c r="M119" s="555">
        <f t="shared" ref="M119:P119" si="33">SUM(M120:M123)</f>
        <v>2862</v>
      </c>
      <c r="N119" s="555">
        <f t="shared" si="33"/>
        <v>2862</v>
      </c>
      <c r="O119" s="555">
        <f t="shared" si="33"/>
        <v>2862</v>
      </c>
      <c r="P119" s="555">
        <f t="shared" si="33"/>
        <v>2862</v>
      </c>
      <c r="Q119" s="4"/>
      <c r="R119" s="1342"/>
      <c r="AA119">
        <v>2862</v>
      </c>
      <c r="AB119" s="1140">
        <f t="shared" si="31"/>
        <v>0</v>
      </c>
    </row>
    <row r="120" spans="1:28" ht="12" customHeight="1">
      <c r="A120" s="206"/>
      <c r="B120" s="215" t="s">
        <v>382</v>
      </c>
      <c r="C120" s="306"/>
      <c r="D120" s="306"/>
      <c r="E120" s="306"/>
      <c r="F120" s="306"/>
      <c r="G120" s="306"/>
      <c r="H120" s="306"/>
      <c r="I120" s="1036"/>
      <c r="J120" s="1351"/>
      <c r="K120" s="556"/>
      <c r="L120" s="556"/>
      <c r="M120" s="556"/>
      <c r="N120" s="556"/>
      <c r="O120" s="556"/>
      <c r="P120" s="1384"/>
      <c r="Q120" s="4"/>
      <c r="R120" s="1342"/>
      <c r="AB120" s="1140"/>
    </row>
    <row r="121" spans="1:28" ht="12" customHeight="1">
      <c r="A121" s="206"/>
      <c r="B121" s="239" t="s">
        <v>392</v>
      </c>
      <c r="C121" s="306"/>
      <c r="D121" s="306"/>
      <c r="E121" s="306"/>
      <c r="F121" s="306"/>
      <c r="G121" s="306"/>
      <c r="H121" s="306"/>
      <c r="I121" s="1036"/>
      <c r="J121" s="1351"/>
      <c r="K121" s="556"/>
      <c r="L121" s="556"/>
      <c r="M121" s="556"/>
      <c r="N121" s="556"/>
      <c r="O121" s="556"/>
      <c r="P121" s="1384"/>
      <c r="Q121" s="4"/>
      <c r="R121" s="1342"/>
      <c r="AB121" s="1140"/>
    </row>
    <row r="122" spans="1:28" ht="12" customHeight="1">
      <c r="A122" s="206"/>
      <c r="B122" s="215" t="s">
        <v>393</v>
      </c>
      <c r="C122" s="306"/>
      <c r="D122" s="306"/>
      <c r="E122" s="306"/>
      <c r="F122" s="306">
        <v>693.3</v>
      </c>
      <c r="G122" s="306"/>
      <c r="H122" s="306"/>
      <c r="I122" s="1028">
        <v>785.18689090233204</v>
      </c>
      <c r="J122" s="1365">
        <v>1071.7721011058452</v>
      </c>
      <c r="K122" s="556">
        <v>1071.7721011058452</v>
      </c>
      <c r="L122" s="556">
        <v>1095.5035053690331</v>
      </c>
      <c r="M122" s="556">
        <v>1095.5035053690331</v>
      </c>
      <c r="N122" s="556">
        <f t="shared" ref="N122:P122" si="34">M122</f>
        <v>1095.5035053690331</v>
      </c>
      <c r="O122" s="556">
        <f t="shared" si="34"/>
        <v>1095.5035053690331</v>
      </c>
      <c r="P122" s="556">
        <f t="shared" si="34"/>
        <v>1095.5035053690331</v>
      </c>
      <c r="Q122" s="4"/>
      <c r="R122" s="1342"/>
      <c r="AA122">
        <v>1095.5035053690331</v>
      </c>
      <c r="AB122" s="1140">
        <f t="shared" si="31"/>
        <v>0</v>
      </c>
    </row>
    <row r="123" spans="1:28" ht="12" customHeight="1">
      <c r="A123" s="206"/>
      <c r="B123" s="215" t="s">
        <v>399</v>
      </c>
      <c r="C123" s="306"/>
      <c r="D123" s="306"/>
      <c r="E123" s="306"/>
      <c r="F123" s="306">
        <v>1638</v>
      </c>
      <c r="G123" s="306"/>
      <c r="H123" s="306"/>
      <c r="I123" s="1028">
        <v>1472.8131090976699</v>
      </c>
      <c r="J123" s="1365">
        <v>1728.2296682464455</v>
      </c>
      <c r="K123" s="556">
        <v>1728.2278988941553</v>
      </c>
      <c r="L123" s="556">
        <v>1766.4964946309672</v>
      </c>
      <c r="M123" s="556">
        <v>1766.4964946309669</v>
      </c>
      <c r="N123" s="556">
        <f t="shared" ref="N123:P123" si="35">M123</f>
        <v>1766.4964946309669</v>
      </c>
      <c r="O123" s="556">
        <f t="shared" si="35"/>
        <v>1766.4964946309669</v>
      </c>
      <c r="P123" s="556">
        <f t="shared" si="35"/>
        <v>1766.4964946309669</v>
      </c>
      <c r="Q123" s="4"/>
      <c r="R123" s="1342"/>
      <c r="AA123">
        <v>1766.4964946309669</v>
      </c>
      <c r="AB123" s="1140">
        <f t="shared" si="31"/>
        <v>0</v>
      </c>
    </row>
    <row r="124" spans="1:28" ht="28.5" customHeight="1">
      <c r="A124" s="206"/>
      <c r="B124" s="323" t="s">
        <v>579</v>
      </c>
      <c r="C124" s="734">
        <f>C109/C105</f>
        <v>0.21977077267897333</v>
      </c>
      <c r="D124" s="734">
        <f>D109/D105</f>
        <v>0.2205534081328186</v>
      </c>
      <c r="E124" s="734">
        <f>E109/E105</f>
        <v>0.22054980662694679</v>
      </c>
      <c r="F124" s="734">
        <v>0.16770298604583905</v>
      </c>
      <c r="G124" s="734">
        <v>0.16770298604583905</v>
      </c>
      <c r="H124" s="734">
        <f>H109/H105</f>
        <v>0.22226036803076077</v>
      </c>
      <c r="I124" s="734">
        <v>0.16769751859215085</v>
      </c>
      <c r="J124" s="785">
        <v>0.19646788462678239</v>
      </c>
      <c r="K124" s="784">
        <v>0.19646776047653883</v>
      </c>
      <c r="L124" s="784">
        <v>0.19646776047653883</v>
      </c>
      <c r="M124" s="734">
        <f>M109/M105</f>
        <v>0.19649591990674073</v>
      </c>
      <c r="N124" s="734">
        <f t="shared" ref="N124:P124" si="36">N109/N105</f>
        <v>0.19649591990674073</v>
      </c>
      <c r="O124" s="734">
        <f t="shared" si="36"/>
        <v>0.19649591990674073</v>
      </c>
      <c r="P124" s="734">
        <f t="shared" si="36"/>
        <v>0.19649591990674073</v>
      </c>
      <c r="Q124" s="1390" t="s">
        <v>1461</v>
      </c>
      <c r="R124" s="1343"/>
      <c r="S124" s="1073"/>
      <c r="T124" s="1073"/>
      <c r="U124" s="1073"/>
      <c r="V124" s="1073"/>
      <c r="AB124" s="1140"/>
    </row>
    <row r="125" spans="1:28" ht="15.75" customHeight="1">
      <c r="A125" s="206"/>
      <c r="B125" s="4" t="s">
        <v>33</v>
      </c>
      <c r="C125" s="307">
        <f t="shared" ref="C125:P125" si="37">C102-C108</f>
        <v>21191.863000000001</v>
      </c>
      <c r="D125" s="307">
        <f t="shared" si="37"/>
        <v>22370.548999999999</v>
      </c>
      <c r="E125" s="307">
        <f t="shared" si="37"/>
        <v>22371</v>
      </c>
      <c r="F125" s="307">
        <v>23023</v>
      </c>
      <c r="G125" s="307">
        <v>22654</v>
      </c>
      <c r="H125" s="307">
        <v>22654</v>
      </c>
      <c r="I125" s="1039">
        <v>22607</v>
      </c>
      <c r="J125" s="1354">
        <v>23066.996436018959</v>
      </c>
      <c r="K125" s="308">
        <v>23067</v>
      </c>
      <c r="L125" s="308">
        <v>23435</v>
      </c>
      <c r="M125" s="308">
        <f t="shared" si="37"/>
        <v>23435</v>
      </c>
      <c r="N125" s="308">
        <f t="shared" si="37"/>
        <v>23435</v>
      </c>
      <c r="O125" s="308">
        <f t="shared" si="37"/>
        <v>23435</v>
      </c>
      <c r="P125" s="308">
        <f t="shared" si="37"/>
        <v>23435</v>
      </c>
      <c r="Q125" s="4"/>
      <c r="R125" s="1342"/>
      <c r="AB125" s="1140"/>
    </row>
    <row r="126" spans="1:28" ht="15.75" customHeight="1">
      <c r="A126" s="207"/>
      <c r="B126" s="4" t="s">
        <v>576</v>
      </c>
      <c r="C126" s="262">
        <f>SUM(C127:C128)</f>
        <v>21191.862999999998</v>
      </c>
      <c r="D126" s="262">
        <f>SUM(D127:D128)</f>
        <v>22370.548999999999</v>
      </c>
      <c r="E126" s="262">
        <f>E105-E109</f>
        <v>22371</v>
      </c>
      <c r="F126" s="262">
        <v>23023</v>
      </c>
      <c r="G126" s="262">
        <v>22654</v>
      </c>
      <c r="H126" s="262">
        <v>22654</v>
      </c>
      <c r="I126" s="557">
        <v>22607</v>
      </c>
      <c r="J126" s="1348">
        <v>23067</v>
      </c>
      <c r="K126" s="262">
        <v>23067</v>
      </c>
      <c r="L126" s="262">
        <v>23435</v>
      </c>
      <c r="M126" s="262">
        <f t="shared" ref="M126:P126" si="38">SUM(M127:M128)</f>
        <v>23435</v>
      </c>
      <c r="N126" s="262">
        <f t="shared" si="38"/>
        <v>23157</v>
      </c>
      <c r="O126" s="262">
        <f t="shared" si="38"/>
        <v>23157</v>
      </c>
      <c r="P126" s="262">
        <f t="shared" si="38"/>
        <v>23157</v>
      </c>
      <c r="Q126" s="4"/>
      <c r="R126" s="1342"/>
      <c r="AA126">
        <v>23435</v>
      </c>
      <c r="AB126" s="1140">
        <f t="shared" si="31"/>
        <v>0</v>
      </c>
    </row>
    <row r="127" spans="1:28" ht="15.75" customHeight="1">
      <c r="A127" s="207"/>
      <c r="B127" s="212" t="s">
        <v>506</v>
      </c>
      <c r="C127" s="306">
        <v>10906.037</v>
      </c>
      <c r="D127" s="306">
        <v>11269.596</v>
      </c>
      <c r="E127" s="306"/>
      <c r="F127" s="306">
        <v>11452</v>
      </c>
      <c r="G127" s="306">
        <v>11083</v>
      </c>
      <c r="H127" s="306"/>
      <c r="I127" s="1036">
        <v>11404</v>
      </c>
      <c r="J127" s="1351">
        <v>11613</v>
      </c>
      <c r="K127" s="306">
        <v>11613</v>
      </c>
      <c r="L127" s="306">
        <v>11731.999999999998</v>
      </c>
      <c r="M127" s="306">
        <v>11732</v>
      </c>
      <c r="N127" s="306">
        <v>11453.999999999998</v>
      </c>
      <c r="O127" s="306">
        <f t="shared" ref="O127:P127" si="39">N127</f>
        <v>11453.999999999998</v>
      </c>
      <c r="P127" s="306">
        <f t="shared" si="39"/>
        <v>11453.999999999998</v>
      </c>
      <c r="Q127" s="4"/>
      <c r="AA127">
        <v>11731.999999999998</v>
      </c>
      <c r="AB127" s="1140">
        <f t="shared" si="31"/>
        <v>0</v>
      </c>
    </row>
    <row r="128" spans="1:28" ht="15.75" customHeight="1">
      <c r="A128" s="207"/>
      <c r="B128" s="212" t="s">
        <v>507</v>
      </c>
      <c r="C128" s="306">
        <v>10285.825999999999</v>
      </c>
      <c r="D128" s="306">
        <v>11100.953</v>
      </c>
      <c r="E128" s="306"/>
      <c r="F128" s="306">
        <v>11571</v>
      </c>
      <c r="G128" s="306">
        <v>11571</v>
      </c>
      <c r="H128" s="306"/>
      <c r="I128" s="1036">
        <v>11202.999999999998</v>
      </c>
      <c r="J128" s="1351">
        <v>11454</v>
      </c>
      <c r="K128" s="306">
        <v>11453.999999999998</v>
      </c>
      <c r="L128" s="306">
        <v>11703</v>
      </c>
      <c r="M128" s="306">
        <v>11703</v>
      </c>
      <c r="N128" s="306">
        <f t="shared" ref="N128:P128" si="40">M128</f>
        <v>11703</v>
      </c>
      <c r="O128" s="306">
        <f t="shared" si="40"/>
        <v>11703</v>
      </c>
      <c r="P128" s="306">
        <f t="shared" si="40"/>
        <v>11703</v>
      </c>
      <c r="Q128" s="4"/>
      <c r="AA128">
        <v>11703</v>
      </c>
      <c r="AB128" s="1140">
        <f t="shared" si="31"/>
        <v>0</v>
      </c>
    </row>
    <row r="129" spans="1:19" ht="15.75" customHeight="1">
      <c r="A129" s="207"/>
      <c r="B129" s="284" t="s">
        <v>589</v>
      </c>
      <c r="C129" s="376"/>
      <c r="D129" s="376"/>
      <c r="E129" s="376">
        <f>E126/E125</f>
        <v>1</v>
      </c>
      <c r="F129" s="376">
        <v>1</v>
      </c>
      <c r="G129" s="376">
        <v>1</v>
      </c>
      <c r="H129" s="376"/>
      <c r="I129" s="378">
        <v>1</v>
      </c>
      <c r="J129" s="759">
        <v>1</v>
      </c>
      <c r="K129" s="793">
        <v>1</v>
      </c>
      <c r="L129" s="793">
        <v>1</v>
      </c>
      <c r="M129" s="1447">
        <f>K129</f>
        <v>1</v>
      </c>
      <c r="N129" s="1447">
        <f>$K$129</f>
        <v>1</v>
      </c>
      <c r="O129" s="1447">
        <f>$K$129</f>
        <v>1</v>
      </c>
      <c r="P129" s="1447">
        <f>$K$129</f>
        <v>1</v>
      </c>
      <c r="Q129" s="4"/>
    </row>
    <row r="130" spans="1:19" ht="27" customHeight="1">
      <c r="A130" s="207"/>
      <c r="B130" s="265" t="s">
        <v>1470</v>
      </c>
      <c r="C130" s="392">
        <v>4.0010000000000003</v>
      </c>
      <c r="D130" s="392">
        <v>4.1890000000000001</v>
      </c>
      <c r="E130" s="392">
        <v>4.0679999999999996</v>
      </c>
      <c r="F130" s="392">
        <v>4.1890000000000001</v>
      </c>
      <c r="G130" s="392">
        <v>4.1189999999999998</v>
      </c>
      <c r="H130" s="392">
        <v>4.1189999999999998</v>
      </c>
      <c r="I130" s="1029">
        <v>4.1114999999999995</v>
      </c>
      <c r="J130" s="1366">
        <v>4.6138278388278389</v>
      </c>
      <c r="K130" s="1027">
        <v>4.1989999999999998</v>
      </c>
      <c r="L130" s="1027">
        <v>4.2612500000000004</v>
      </c>
      <c r="M130" s="1441">
        <v>4.2613000000000003</v>
      </c>
      <c r="N130" s="1027">
        <f t="shared" ref="N130:P130" si="41">M130</f>
        <v>4.2613000000000003</v>
      </c>
      <c r="O130" s="1027">
        <f t="shared" si="41"/>
        <v>4.2613000000000003</v>
      </c>
      <c r="P130" s="1027">
        <f t="shared" si="41"/>
        <v>4.2613000000000003</v>
      </c>
      <c r="Q130" s="4" t="s">
        <v>825</v>
      </c>
    </row>
    <row r="131" spans="1:19" ht="15.75" hidden="1" customHeight="1">
      <c r="A131" s="213"/>
      <c r="B131" s="265" t="s">
        <v>47</v>
      </c>
      <c r="C131" s="393">
        <v>26.291</v>
      </c>
      <c r="D131" s="393">
        <v>26.393999999999998</v>
      </c>
      <c r="E131" s="393"/>
      <c r="F131" s="393"/>
      <c r="G131" s="393"/>
      <c r="H131" s="393"/>
      <c r="I131" s="395">
        <v>26.393999999999998</v>
      </c>
      <c r="J131" s="1367">
        <v>26.6966</v>
      </c>
      <c r="K131" s="394">
        <v>26.6966</v>
      </c>
      <c r="L131" s="394">
        <v>26.914999999999996</v>
      </c>
      <c r="M131" s="395">
        <f>K131</f>
        <v>26.6966</v>
      </c>
      <c r="N131" s="395">
        <f t="shared" ref="N131:P131" si="42">M131</f>
        <v>26.6966</v>
      </c>
      <c r="O131" s="395">
        <f t="shared" si="42"/>
        <v>26.6966</v>
      </c>
      <c r="P131" s="395">
        <f t="shared" si="42"/>
        <v>26.6966</v>
      </c>
      <c r="Q131" s="4" t="s">
        <v>825</v>
      </c>
    </row>
    <row r="132" spans="1:19" ht="15.75" customHeight="1">
      <c r="A132" s="207"/>
      <c r="B132" s="313" t="s">
        <v>578</v>
      </c>
      <c r="C132" s="314">
        <f>C146/C109*1000</f>
        <v>2757.3162947860774</v>
      </c>
      <c r="D132" s="314"/>
      <c r="E132" s="314">
        <f>E146/E109*1000</f>
        <v>2977.6941437598734</v>
      </c>
      <c r="F132" s="314">
        <v>2749.9801880373361</v>
      </c>
      <c r="G132" s="314">
        <v>2749.9801880373361</v>
      </c>
      <c r="H132" s="314">
        <f>H146/H109*1000</f>
        <v>3411.8929255483472</v>
      </c>
      <c r="I132" s="314">
        <f t="shared" ref="I132" si="43">(I151+I156)/I109*1000</f>
        <v>3062.2492415856818</v>
      </c>
      <c r="J132" s="1368">
        <v>3632.5537197678591</v>
      </c>
      <c r="K132" s="314">
        <v>3515.1222074984621</v>
      </c>
      <c r="L132" s="314">
        <v>3752.5327249606958</v>
      </c>
      <c r="M132" s="314">
        <f t="shared" ref="M132:P132" si="44">(M151+M156)/M109*1000</f>
        <v>3683.0998725843169</v>
      </c>
      <c r="N132" s="314">
        <f t="shared" si="44"/>
        <v>3819.7507912813835</v>
      </c>
      <c r="O132" s="314">
        <f t="shared" si="44"/>
        <v>4033.6568355931408</v>
      </c>
      <c r="P132" s="314">
        <f t="shared" si="44"/>
        <v>4259.5416183863572</v>
      </c>
      <c r="Q132" s="4"/>
    </row>
    <row r="133" spans="1:19" ht="27" customHeight="1">
      <c r="A133" s="207"/>
      <c r="B133" s="312" t="s">
        <v>506</v>
      </c>
      <c r="C133" s="1036">
        <v>2665.3445527757094</v>
      </c>
      <c r="D133" s="309">
        <v>2695.79</v>
      </c>
      <c r="E133" s="309"/>
      <c r="F133" s="309">
        <v>2695.7901000000002</v>
      </c>
      <c r="G133" s="309">
        <v>2803.6217040000001</v>
      </c>
      <c r="H133" s="309"/>
      <c r="I133" s="1036">
        <v>2803.6217040000001</v>
      </c>
      <c r="J133" s="1351">
        <v>3325.343773841797</v>
      </c>
      <c r="K133" s="310">
        <v>3381.7052642704225</v>
      </c>
      <c r="L133" s="310">
        <v>3650.4451070583304</v>
      </c>
      <c r="M133" s="311">
        <v>3650.4451070583304</v>
      </c>
      <c r="N133" s="311">
        <f>M139</f>
        <v>3715.8345065095632</v>
      </c>
      <c r="O133" s="311">
        <f>N139</f>
        <v>3923.9212388740989</v>
      </c>
      <c r="P133" s="311">
        <f>O139</f>
        <v>4143.6608282510488</v>
      </c>
      <c r="Q133" s="4" t="s">
        <v>1471</v>
      </c>
    </row>
    <row r="134" spans="1:19" ht="15.75" hidden="1" customHeight="1">
      <c r="A134" s="207"/>
      <c r="B134" s="312" t="s">
        <v>818</v>
      </c>
      <c r="C134" s="1039"/>
      <c r="D134" s="772"/>
      <c r="E134" s="772"/>
      <c r="F134" s="772"/>
      <c r="G134" s="772"/>
      <c r="H134" s="772"/>
      <c r="I134" s="1039">
        <v>3325.343773841797</v>
      </c>
      <c r="J134" s="1354"/>
      <c r="K134" s="773"/>
      <c r="L134" s="773"/>
      <c r="M134" s="774"/>
      <c r="N134" s="774"/>
      <c r="O134" s="774"/>
      <c r="P134" s="774"/>
      <c r="Q134" s="4"/>
    </row>
    <row r="135" spans="1:19" ht="15.75" hidden="1" customHeight="1">
      <c r="A135" s="207"/>
      <c r="B135" s="312" t="s">
        <v>486</v>
      </c>
      <c r="C135" s="1039"/>
      <c r="D135" s="772"/>
      <c r="E135" s="772"/>
      <c r="F135" s="772"/>
      <c r="G135" s="772"/>
      <c r="H135" s="772"/>
      <c r="I135" s="1039">
        <v>1.1135532011855012</v>
      </c>
      <c r="J135" s="1354"/>
      <c r="K135" s="773"/>
      <c r="L135" s="773"/>
      <c r="M135" s="774"/>
      <c r="N135" s="774"/>
      <c r="O135" s="774"/>
      <c r="P135" s="774"/>
      <c r="Q135" s="4"/>
    </row>
    <row r="136" spans="1:19" ht="15.75" hidden="1" customHeight="1">
      <c r="A136" s="207"/>
      <c r="B136" s="312" t="s">
        <v>819</v>
      </c>
      <c r="C136" s="1039"/>
      <c r="D136" s="772"/>
      <c r="E136" s="772"/>
      <c r="F136" s="772"/>
      <c r="G136" s="772"/>
      <c r="H136" s="772"/>
      <c r="I136" s="1039">
        <v>13948.545295422782</v>
      </c>
      <c r="J136" s="1354"/>
      <c r="K136" s="773"/>
      <c r="L136" s="773"/>
      <c r="M136" s="774"/>
      <c r="N136" s="774"/>
      <c r="O136" s="774"/>
      <c r="P136" s="774"/>
      <c r="Q136" s="4"/>
    </row>
    <row r="137" spans="1:19" ht="15.75" hidden="1" customHeight="1">
      <c r="A137" s="207"/>
      <c r="B137" s="312" t="s">
        <v>820</v>
      </c>
      <c r="C137" s="1039"/>
      <c r="D137" s="772"/>
      <c r="E137" s="772"/>
      <c r="F137" s="772"/>
      <c r="G137" s="772"/>
      <c r="H137" s="772"/>
      <c r="I137" s="1039">
        <v>0</v>
      </c>
      <c r="J137" s="1354"/>
      <c r="K137" s="773"/>
      <c r="L137" s="773"/>
      <c r="M137" s="774"/>
      <c r="N137" s="774"/>
      <c r="O137" s="774"/>
      <c r="P137" s="774"/>
      <c r="Q137" s="4"/>
    </row>
    <row r="138" spans="1:19" ht="15.75" hidden="1" customHeight="1">
      <c r="A138" s="207"/>
      <c r="B138" s="312" t="s">
        <v>821</v>
      </c>
      <c r="C138" s="1039"/>
      <c r="D138" s="772"/>
      <c r="E138" s="772"/>
      <c r="F138" s="772"/>
      <c r="G138" s="772"/>
      <c r="H138" s="772"/>
      <c r="I138" s="1039">
        <v>0</v>
      </c>
      <c r="J138" s="1354"/>
      <c r="K138" s="773"/>
      <c r="L138" s="773"/>
      <c r="M138" s="774"/>
      <c r="N138" s="774"/>
      <c r="O138" s="774"/>
      <c r="P138" s="774"/>
      <c r="Q138" s="4"/>
    </row>
    <row r="139" spans="1:19" ht="15.75" customHeight="1">
      <c r="A139" s="207"/>
      <c r="B139" s="312" t="s">
        <v>507</v>
      </c>
      <c r="C139" s="1036">
        <v>2851.9186714700099</v>
      </c>
      <c r="D139" s="309">
        <v>2803.6219999999998</v>
      </c>
      <c r="E139" s="309"/>
      <c r="F139" s="309">
        <v>2803.6217040000001</v>
      </c>
      <c r="G139" s="309">
        <v>3325.343773841797</v>
      </c>
      <c r="H139" s="309"/>
      <c r="I139" s="1074">
        <v>3325.343773841797</v>
      </c>
      <c r="J139" s="1369">
        <v>3944.1523792071498</v>
      </c>
      <c r="K139" s="310">
        <v>3650.4451070583304</v>
      </c>
      <c r="L139" s="310">
        <v>3854.8700330535971</v>
      </c>
      <c r="M139" s="311">
        <v>3715.8345065095632</v>
      </c>
      <c r="N139" s="311">
        <f>N133*1.056</f>
        <v>3923.9212388740989</v>
      </c>
      <c r="O139" s="311">
        <f>O133*1.056</f>
        <v>4143.6608282510488</v>
      </c>
      <c r="P139" s="311">
        <f>P133*1.056</f>
        <v>4375.7058346331078</v>
      </c>
      <c r="Q139" s="4"/>
      <c r="S139" s="1449"/>
    </row>
    <row r="140" spans="1:19" ht="15.75" hidden="1" customHeight="1">
      <c r="A140" s="207"/>
      <c r="B140" s="312" t="s">
        <v>818</v>
      </c>
      <c r="C140" s="772"/>
      <c r="D140" s="772"/>
      <c r="E140" s="772"/>
      <c r="F140" s="772"/>
      <c r="G140" s="772"/>
      <c r="H140" s="772"/>
      <c r="I140" s="1039">
        <v>9098.1401080342257</v>
      </c>
      <c r="J140" s="1354"/>
      <c r="K140" s="773"/>
      <c r="L140" s="773"/>
      <c r="M140" s="774"/>
      <c r="N140" s="774"/>
      <c r="O140" s="774"/>
      <c r="P140" s="774"/>
      <c r="Q140" s="4"/>
    </row>
    <row r="141" spans="1:19" ht="15.75" hidden="1" customHeight="1">
      <c r="A141" s="207"/>
      <c r="B141" s="312" t="s">
        <v>486</v>
      </c>
      <c r="C141" s="772"/>
      <c r="D141" s="772"/>
      <c r="E141" s="772"/>
      <c r="F141" s="772"/>
      <c r="G141" s="772"/>
      <c r="H141" s="772"/>
      <c r="I141" s="1039">
        <v>6439.9190540879972</v>
      </c>
      <c r="J141" s="1354"/>
      <c r="K141" s="773"/>
      <c r="L141" s="773"/>
      <c r="M141" s="774"/>
      <c r="N141" s="774"/>
      <c r="O141" s="774"/>
      <c r="P141" s="774"/>
      <c r="Q141" s="4"/>
    </row>
    <row r="142" spans="1:19" ht="15.75" hidden="1" customHeight="1">
      <c r="A142" s="207"/>
      <c r="B142" s="312" t="s">
        <v>819</v>
      </c>
      <c r="C142" s="772"/>
      <c r="D142" s="772"/>
      <c r="E142" s="772"/>
      <c r="F142" s="772"/>
      <c r="G142" s="772"/>
      <c r="H142" s="772"/>
      <c r="I142" s="1039">
        <v>0</v>
      </c>
      <c r="J142" s="1354"/>
      <c r="K142" s="773"/>
      <c r="L142" s="773"/>
      <c r="M142" s="774"/>
      <c r="N142" s="774"/>
      <c r="O142" s="774"/>
      <c r="P142" s="774"/>
      <c r="Q142" s="4"/>
    </row>
    <row r="143" spans="1:19" ht="15.75" hidden="1" customHeight="1">
      <c r="A143" s="207"/>
      <c r="B143" s="312" t="s">
        <v>820</v>
      </c>
      <c r="C143" s="772"/>
      <c r="D143" s="772"/>
      <c r="E143" s="772"/>
      <c r="F143" s="772"/>
      <c r="G143" s="772"/>
      <c r="H143" s="772"/>
      <c r="I143" s="1039">
        <v>0</v>
      </c>
      <c r="J143" s="1354"/>
      <c r="K143" s="773"/>
      <c r="L143" s="773"/>
      <c r="M143" s="774"/>
      <c r="N143" s="774"/>
      <c r="O143" s="774"/>
      <c r="P143" s="774"/>
      <c r="Q143" s="4"/>
    </row>
    <row r="144" spans="1:19" ht="15.75" hidden="1" customHeight="1">
      <c r="A144" s="207"/>
      <c r="B144" s="312" t="s">
        <v>821</v>
      </c>
      <c r="C144" s="772"/>
      <c r="D144" s="772"/>
      <c r="E144" s="772"/>
      <c r="F144" s="772"/>
      <c r="G144" s="772"/>
      <c r="H144" s="772"/>
      <c r="I144" s="1039">
        <v>2239.3888484242893</v>
      </c>
      <c r="J144" s="1354"/>
      <c r="K144" s="773"/>
      <c r="L144" s="773"/>
      <c r="M144" s="774"/>
      <c r="N144" s="774"/>
      <c r="O144" s="774"/>
      <c r="P144" s="774"/>
      <c r="Q144" s="4"/>
    </row>
    <row r="145" spans="1:19" ht="15.75" hidden="1" customHeight="1">
      <c r="A145" s="207"/>
      <c r="B145" s="4" t="s">
        <v>27</v>
      </c>
      <c r="C145" s="263"/>
      <c r="D145" s="263"/>
      <c r="E145" s="263"/>
      <c r="F145" s="263">
        <v>1.0550247392555923</v>
      </c>
      <c r="G145" s="263">
        <v>1.0550247392555923</v>
      </c>
      <c r="H145" s="263"/>
      <c r="I145" s="1049">
        <v>4200.5302056637083</v>
      </c>
      <c r="J145" s="1370">
        <v>1.1862371195777861</v>
      </c>
      <c r="K145" s="701">
        <v>1.1478889960238101</v>
      </c>
      <c r="L145" s="701">
        <v>1.2254171456721707</v>
      </c>
      <c r="M145" s="701">
        <f>M132/K132</f>
        <v>1.0477871479766834</v>
      </c>
      <c r="N145" s="701">
        <f>N132/M132</f>
        <v>1.0371021485771394</v>
      </c>
      <c r="O145" s="701">
        <f t="shared" ref="O145:P145" si="45">O132/N132</f>
        <v>1.056</v>
      </c>
      <c r="P145" s="701">
        <f t="shared" si="45"/>
        <v>1.056</v>
      </c>
      <c r="Q145" s="4"/>
    </row>
    <row r="146" spans="1:19" ht="15.75" customHeight="1">
      <c r="A146" s="207" t="s">
        <v>45</v>
      </c>
      <c r="B146" s="315" t="s">
        <v>34</v>
      </c>
      <c r="C146" s="1050">
        <v>16459</v>
      </c>
      <c r="D146" s="316">
        <v>18849</v>
      </c>
      <c r="E146" s="316">
        <f>(2087797.59+1595116.93+2627721+1384487.34+743971.73+732537.56+1295504.86+1166902.08+1150992.79+1456320.16+2503453.11+2103998.78)/1000</f>
        <v>18848.803929999998</v>
      </c>
      <c r="F146" s="316">
        <v>12757.158092305202</v>
      </c>
      <c r="G146" s="316">
        <v>18989.8</v>
      </c>
      <c r="H146" s="316">
        <f>(2060086.72+1825920.05+2621958.21+1390950.47+1022375.62+622126.01+1627809.52+1981764.87+1499474.37+1946864.62+2390454.13+3098810.21)/1000</f>
        <v>22088.594799999999</v>
      </c>
      <c r="I146" s="1050">
        <v>13948.545295422782</v>
      </c>
      <c r="J146" s="1371">
        <v>20487.615925843318</v>
      </c>
      <c r="K146" s="1336">
        <v>19825.289250291327</v>
      </c>
      <c r="L146" s="1336">
        <v>21505.765046749748</v>
      </c>
      <c r="M146" s="1336">
        <f>M132*M108/1000</f>
        <v>21107.84536978072</v>
      </c>
      <c r="N146" s="316">
        <f>N132*N108/1000</f>
        <v>21890.991784833612</v>
      </c>
      <c r="O146" s="316">
        <f>O132*O108/1000</f>
        <v>23116.887324784289</v>
      </c>
      <c r="P146" s="316">
        <f>P132*P108/1000</f>
        <v>24411.433014972215</v>
      </c>
      <c r="Q146" s="1388"/>
      <c r="R146">
        <v>21107.84536978072</v>
      </c>
      <c r="S146" s="1450">
        <f>M146-R146</f>
        <v>0</v>
      </c>
    </row>
    <row r="147" spans="1:19" ht="15.75" customHeight="1">
      <c r="A147" s="207"/>
      <c r="B147" s="312" t="s">
        <v>382</v>
      </c>
      <c r="C147" s="319">
        <f>C152+C157</f>
        <v>0</v>
      </c>
      <c r="D147" s="319">
        <f t="shared" ref="D147:P147" si="46">D152+D157</f>
        <v>0</v>
      </c>
      <c r="E147" s="319"/>
      <c r="F147" s="319">
        <v>0</v>
      </c>
      <c r="G147" s="319"/>
      <c r="H147" s="319"/>
      <c r="I147" s="1051">
        <v>0</v>
      </c>
      <c r="J147" s="1372">
        <v>0</v>
      </c>
      <c r="K147" s="319">
        <v>0</v>
      </c>
      <c r="L147" s="319">
        <v>0</v>
      </c>
      <c r="M147" s="319">
        <f t="shared" si="46"/>
        <v>0</v>
      </c>
      <c r="N147" s="319">
        <f t="shared" si="46"/>
        <v>0</v>
      </c>
      <c r="O147" s="319">
        <f t="shared" si="46"/>
        <v>0</v>
      </c>
      <c r="P147" s="319">
        <f t="shared" si="46"/>
        <v>0</v>
      </c>
      <c r="Q147" s="4"/>
    </row>
    <row r="148" spans="1:19" ht="15.75" customHeight="1">
      <c r="A148" s="207"/>
      <c r="B148" s="318" t="s">
        <v>392</v>
      </c>
      <c r="C148" s="319">
        <f>C153+C158</f>
        <v>0</v>
      </c>
      <c r="D148" s="319">
        <f t="shared" ref="D148:P148" si="47">D153+D158</f>
        <v>0</v>
      </c>
      <c r="E148" s="319"/>
      <c r="F148" s="319">
        <v>0</v>
      </c>
      <c r="G148" s="319"/>
      <c r="H148" s="319"/>
      <c r="I148" s="1051">
        <v>0</v>
      </c>
      <c r="J148" s="1372">
        <v>0</v>
      </c>
      <c r="K148" s="319">
        <v>0</v>
      </c>
      <c r="L148" s="319">
        <v>0</v>
      </c>
      <c r="M148" s="319">
        <f t="shared" si="47"/>
        <v>0</v>
      </c>
      <c r="N148" s="319">
        <f t="shared" si="47"/>
        <v>0</v>
      </c>
      <c r="O148" s="319">
        <f t="shared" si="47"/>
        <v>0</v>
      </c>
      <c r="P148" s="319">
        <f t="shared" si="47"/>
        <v>0</v>
      </c>
      <c r="Q148" s="4"/>
    </row>
    <row r="149" spans="1:19" ht="15.75" customHeight="1">
      <c r="A149" s="207"/>
      <c r="B149" s="312" t="s">
        <v>393</v>
      </c>
      <c r="C149" s="319">
        <f>C154+C159</f>
        <v>0</v>
      </c>
      <c r="D149" s="319">
        <f t="shared" ref="D149:P149" si="48">D154+D159</f>
        <v>0</v>
      </c>
      <c r="E149" s="319"/>
      <c r="F149" s="319">
        <v>3793.6020940032004</v>
      </c>
      <c r="G149" s="319"/>
      <c r="H149" s="319"/>
      <c r="I149" s="1051">
        <v>4850.4051873885574</v>
      </c>
      <c r="J149" s="1372">
        <v>7842.1576042682664</v>
      </c>
      <c r="K149" s="319">
        <v>7588.6399695770933</v>
      </c>
      <c r="L149" s="319">
        <v>8231.8801517670072</v>
      </c>
      <c r="M149" s="319">
        <f t="shared" si="48"/>
        <v>8079.5662450671889</v>
      </c>
      <c r="N149" s="319">
        <f t="shared" si="48"/>
        <v>8379.3355123305118</v>
      </c>
      <c r="O149" s="319">
        <f t="shared" si="48"/>
        <v>8848.5783010210216</v>
      </c>
      <c r="P149" s="319">
        <f t="shared" si="48"/>
        <v>9344.098685878198</v>
      </c>
      <c r="Q149" s="4"/>
    </row>
    <row r="150" spans="1:19" ht="15.75" customHeight="1">
      <c r="A150" s="207"/>
      <c r="B150" s="312" t="s">
        <v>399</v>
      </c>
      <c r="C150" s="319">
        <f>C155+C160</f>
        <v>0</v>
      </c>
      <c r="D150" s="319">
        <f t="shared" ref="D150:P150" si="49">D155+D160</f>
        <v>0</v>
      </c>
      <c r="E150" s="319"/>
      <c r="F150" s="319">
        <v>8963.5559983020012</v>
      </c>
      <c r="G150" s="319"/>
      <c r="H150" s="319"/>
      <c r="I150" s="1051">
        <v>9098.1401080342257</v>
      </c>
      <c r="J150" s="1372">
        <v>12645.45832157505</v>
      </c>
      <c r="K150" s="319">
        <v>12236.649280714235</v>
      </c>
      <c r="L150" s="319">
        <v>13273.884894982741</v>
      </c>
      <c r="M150" s="319">
        <f t="shared" si="49"/>
        <v>13028.279124713532</v>
      </c>
      <c r="N150" s="319">
        <f t="shared" si="49"/>
        <v>13511.656272503096</v>
      </c>
      <c r="O150" s="319">
        <f t="shared" si="49"/>
        <v>14268.309023763271</v>
      </c>
      <c r="P150" s="319">
        <f t="shared" si="49"/>
        <v>15067.334329094014</v>
      </c>
      <c r="Q150" s="4"/>
    </row>
    <row r="151" spans="1:19" ht="15.75" customHeight="1">
      <c r="A151" s="207"/>
      <c r="B151" s="315" t="s">
        <v>508</v>
      </c>
      <c r="C151" s="317">
        <f>SUM(C152:C155)</f>
        <v>0</v>
      </c>
      <c r="D151" s="317">
        <f t="shared" ref="D151:P151" si="50">SUM(D152:D155)</f>
        <v>0</v>
      </c>
      <c r="E151" s="317"/>
      <c r="F151" s="317">
        <v>6221.0748137700011</v>
      </c>
      <c r="G151" s="317"/>
      <c r="H151" s="317"/>
      <c r="I151" s="1052">
        <v>6439.9190540879972</v>
      </c>
      <c r="J151" s="1373">
        <v>9443.9822854682498</v>
      </c>
      <c r="K151" s="1337">
        <v>9604.0429505280008</v>
      </c>
      <c r="L151" s="1337">
        <v>10473.127012150351</v>
      </c>
      <c r="M151" s="1337">
        <f t="shared" si="50"/>
        <v>10473.127012150351</v>
      </c>
      <c r="N151" s="317">
        <f t="shared" si="50"/>
        <v>10660.729199175938</v>
      </c>
      <c r="O151" s="317">
        <f t="shared" si="50"/>
        <v>11257.73003432979</v>
      </c>
      <c r="P151" s="317">
        <f t="shared" si="50"/>
        <v>11888.162916252259</v>
      </c>
      <c r="Q151" s="4"/>
    </row>
    <row r="152" spans="1:19" ht="15.75" customHeight="1">
      <c r="A152" s="207"/>
      <c r="B152" s="312" t="s">
        <v>382</v>
      </c>
      <c r="C152" s="320">
        <f>C115*C133/1000</f>
        <v>0</v>
      </c>
      <c r="D152" s="320">
        <f t="shared" ref="D152:P152" si="51">D115*D133/1000</f>
        <v>0</v>
      </c>
      <c r="E152" s="320"/>
      <c r="F152" s="320">
        <v>0</v>
      </c>
      <c r="G152" s="320"/>
      <c r="H152" s="320"/>
      <c r="I152" s="1053">
        <v>0</v>
      </c>
      <c r="J152" s="1374">
        <v>0</v>
      </c>
      <c r="K152" s="320">
        <v>0</v>
      </c>
      <c r="L152" s="320">
        <v>0</v>
      </c>
      <c r="M152" s="320">
        <f>M115*M133/1000</f>
        <v>0</v>
      </c>
      <c r="N152" s="320">
        <f>N115*N133/1000</f>
        <v>0</v>
      </c>
      <c r="O152" s="320">
        <f t="shared" si="51"/>
        <v>0</v>
      </c>
      <c r="P152" s="320">
        <f t="shared" si="51"/>
        <v>0</v>
      </c>
      <c r="Q152" s="4"/>
    </row>
    <row r="153" spans="1:19" ht="15.75" customHeight="1">
      <c r="A153" s="207"/>
      <c r="B153" s="318" t="s">
        <v>392</v>
      </c>
      <c r="C153" s="320">
        <f>C116*C133/1000</f>
        <v>0</v>
      </c>
      <c r="D153" s="320">
        <f t="shared" ref="D153:P153" si="52">D116*D133/1000</f>
        <v>0</v>
      </c>
      <c r="E153" s="320"/>
      <c r="F153" s="320">
        <v>0</v>
      </c>
      <c r="G153" s="320"/>
      <c r="H153" s="320"/>
      <c r="I153" s="1053">
        <v>0</v>
      </c>
      <c r="J153" s="1374">
        <v>0</v>
      </c>
      <c r="K153" s="320">
        <v>0</v>
      </c>
      <c r="L153" s="320">
        <v>0</v>
      </c>
      <c r="M153" s="320">
        <f t="shared" si="52"/>
        <v>0</v>
      </c>
      <c r="N153" s="320">
        <f t="shared" si="52"/>
        <v>0</v>
      </c>
      <c r="O153" s="320">
        <f t="shared" si="52"/>
        <v>0</v>
      </c>
      <c r="P153" s="320">
        <f t="shared" si="52"/>
        <v>0</v>
      </c>
      <c r="Q153" s="4"/>
    </row>
    <row r="154" spans="1:19" ht="15.75" customHeight="1">
      <c r="A154" s="207"/>
      <c r="B154" s="312" t="s">
        <v>393</v>
      </c>
      <c r="C154" s="320">
        <f>C117*C133/1000</f>
        <v>0</v>
      </c>
      <c r="D154" s="320">
        <f>D117*D133/1000</f>
        <v>0</v>
      </c>
      <c r="E154" s="320"/>
      <c r="F154" s="320">
        <v>1849.8511666200002</v>
      </c>
      <c r="G154" s="320"/>
      <c r="H154" s="320"/>
      <c r="I154" s="1053">
        <v>2239.3888484242893</v>
      </c>
      <c r="J154" s="1374">
        <v>3614.9251217238016</v>
      </c>
      <c r="K154" s="320">
        <v>3676.1947472136344</v>
      </c>
      <c r="L154" s="320">
        <v>4008.856517814751</v>
      </c>
      <c r="M154" s="320">
        <f t="shared" ref="M154:P154" si="53">M117*M133/1000</f>
        <v>4008.856517814751</v>
      </c>
      <c r="N154" s="320">
        <f t="shared" si="53"/>
        <v>4080.6660403519377</v>
      </c>
      <c r="O154" s="320">
        <f t="shared" si="53"/>
        <v>4309.1833386116459</v>
      </c>
      <c r="P154" s="320">
        <f t="shared" si="53"/>
        <v>4550.497605573898</v>
      </c>
      <c r="Q154" s="4"/>
    </row>
    <row r="155" spans="1:19" ht="15.75" customHeight="1">
      <c r="A155" s="207"/>
      <c r="B155" s="312" t="s">
        <v>399</v>
      </c>
      <c r="C155" s="320">
        <f>C118*C133/1000</f>
        <v>0</v>
      </c>
      <c r="D155" s="320">
        <f t="shared" ref="D155:P155" si="54">D118*D133/1000</f>
        <v>0</v>
      </c>
      <c r="E155" s="320"/>
      <c r="F155" s="320">
        <v>4371.2236471500009</v>
      </c>
      <c r="G155" s="320"/>
      <c r="H155" s="320"/>
      <c r="I155" s="1053">
        <v>4200.5302056637083</v>
      </c>
      <c r="J155" s="1374">
        <v>5829.0571637444482</v>
      </c>
      <c r="K155" s="320">
        <v>5927.8482033143655</v>
      </c>
      <c r="L155" s="320">
        <v>6464.2704943356002</v>
      </c>
      <c r="M155" s="320">
        <f t="shared" si="54"/>
        <v>6464.2704943355993</v>
      </c>
      <c r="N155" s="320">
        <f t="shared" si="54"/>
        <v>6580.0631588239994</v>
      </c>
      <c r="O155" s="320">
        <f t="shared" si="54"/>
        <v>6948.5466957181443</v>
      </c>
      <c r="P155" s="320">
        <f t="shared" si="54"/>
        <v>7337.6653106783597</v>
      </c>
      <c r="Q155" s="4"/>
    </row>
    <row r="156" spans="1:19" ht="15.75" customHeight="1">
      <c r="A156" s="207"/>
      <c r="B156" s="315" t="s">
        <v>509</v>
      </c>
      <c r="C156" s="317">
        <f>SUM(C157:C160)</f>
        <v>0</v>
      </c>
      <c r="D156" s="317">
        <f t="shared" ref="D156:P156" si="55">SUM(D157:D160)</f>
        <v>0</v>
      </c>
      <c r="E156" s="317"/>
      <c r="F156" s="317">
        <v>6536.0832785352004</v>
      </c>
      <c r="G156" s="317"/>
      <c r="H156" s="317"/>
      <c r="I156" s="1052">
        <v>7508.6262413347849</v>
      </c>
      <c r="J156" s="1373">
        <v>11043.633640375067</v>
      </c>
      <c r="K156" s="1337">
        <v>10221.246299763327</v>
      </c>
      <c r="L156" s="1337">
        <v>11032.638034599397</v>
      </c>
      <c r="M156" s="1337">
        <f t="shared" si="55"/>
        <v>10634.718357630371</v>
      </c>
      <c r="N156" s="317">
        <f t="shared" si="55"/>
        <v>11230.262585657671</v>
      </c>
      <c r="O156" s="317">
        <f t="shared" si="55"/>
        <v>11859.157290454503</v>
      </c>
      <c r="P156" s="317">
        <f t="shared" si="55"/>
        <v>12523.270098719953</v>
      </c>
      <c r="Q156" s="4"/>
    </row>
    <row r="157" spans="1:19" ht="15.75" customHeight="1">
      <c r="A157" s="207"/>
      <c r="B157" s="215" t="s">
        <v>382</v>
      </c>
      <c r="C157" s="300">
        <f>C120*C139/1000</f>
        <v>0</v>
      </c>
      <c r="D157" s="300">
        <f t="shared" ref="D157:P157" si="56">D120*D139/1000</f>
        <v>0</v>
      </c>
      <c r="E157" s="300"/>
      <c r="F157" s="300">
        <v>0</v>
      </c>
      <c r="G157" s="300"/>
      <c r="H157" s="300"/>
      <c r="I157" s="1054">
        <v>0</v>
      </c>
      <c r="J157" s="1375">
        <v>0</v>
      </c>
      <c r="K157" s="300">
        <v>0</v>
      </c>
      <c r="L157" s="300">
        <v>0</v>
      </c>
      <c r="M157" s="300">
        <f t="shared" si="56"/>
        <v>0</v>
      </c>
      <c r="N157" s="300">
        <f t="shared" si="56"/>
        <v>0</v>
      </c>
      <c r="O157" s="300">
        <f t="shared" si="56"/>
        <v>0</v>
      </c>
      <c r="P157" s="300">
        <f t="shared" si="56"/>
        <v>0</v>
      </c>
      <c r="Q157" s="4"/>
    </row>
    <row r="158" spans="1:19" ht="15.75" customHeight="1">
      <c r="A158" s="207"/>
      <c r="B158" s="239" t="s">
        <v>392</v>
      </c>
      <c r="C158" s="300">
        <f>C121*C139/1000</f>
        <v>0</v>
      </c>
      <c r="D158" s="300">
        <f t="shared" ref="D158:P158" si="57">D121*D139/1000</f>
        <v>0</v>
      </c>
      <c r="E158" s="300"/>
      <c r="F158" s="300">
        <v>0</v>
      </c>
      <c r="G158" s="300"/>
      <c r="H158" s="300"/>
      <c r="I158" s="1054">
        <v>0</v>
      </c>
      <c r="J158" s="1375">
        <v>0</v>
      </c>
      <c r="K158" s="300">
        <v>0</v>
      </c>
      <c r="L158" s="300">
        <v>0</v>
      </c>
      <c r="M158" s="300">
        <f t="shared" si="57"/>
        <v>0</v>
      </c>
      <c r="N158" s="300">
        <f t="shared" si="57"/>
        <v>0</v>
      </c>
      <c r="O158" s="300">
        <f t="shared" si="57"/>
        <v>0</v>
      </c>
      <c r="P158" s="300">
        <f t="shared" si="57"/>
        <v>0</v>
      </c>
      <c r="Q158" s="4"/>
    </row>
    <row r="159" spans="1:19" ht="15.75" customHeight="1">
      <c r="A159" s="207"/>
      <c r="B159" s="215" t="s">
        <v>393</v>
      </c>
      <c r="C159" s="300">
        <f>C122*C139/1000</f>
        <v>0</v>
      </c>
      <c r="D159" s="300">
        <f t="shared" ref="D159:P159" si="58">D122*D139/1000</f>
        <v>0</v>
      </c>
      <c r="E159" s="300"/>
      <c r="F159" s="300">
        <v>1943.7509273832</v>
      </c>
      <c r="G159" s="300"/>
      <c r="H159" s="300"/>
      <c r="I159" s="1054">
        <v>2611.016338964268</v>
      </c>
      <c r="J159" s="1375">
        <v>4227.2324825444648</v>
      </c>
      <c r="K159" s="300">
        <v>3912.4452223634589</v>
      </c>
      <c r="L159" s="300">
        <v>4223.0236339522562</v>
      </c>
      <c r="M159" s="300">
        <f t="shared" si="58"/>
        <v>4070.7097272524379</v>
      </c>
      <c r="N159" s="300">
        <f t="shared" si="58"/>
        <v>4298.6694719785737</v>
      </c>
      <c r="O159" s="300">
        <f t="shared" si="58"/>
        <v>4539.3949624093748</v>
      </c>
      <c r="P159" s="300">
        <f t="shared" si="58"/>
        <v>4793.6010803043</v>
      </c>
      <c r="Q159" s="4"/>
    </row>
    <row r="160" spans="1:19" ht="15.75" customHeight="1">
      <c r="A160" s="1152"/>
      <c r="B160" s="215" t="s">
        <v>399</v>
      </c>
      <c r="C160" s="300">
        <f>C123*C139/1000</f>
        <v>0</v>
      </c>
      <c r="D160" s="300">
        <f t="shared" ref="D160:P160" si="59">D123*D139/1000</f>
        <v>0</v>
      </c>
      <c r="E160" s="300"/>
      <c r="F160" s="300">
        <v>4592.3323511520002</v>
      </c>
      <c r="G160" s="300"/>
      <c r="H160" s="300"/>
      <c r="I160" s="1054">
        <v>4897.6099023705165</v>
      </c>
      <c r="J160" s="1375">
        <v>6816.4011578306017</v>
      </c>
      <c r="K160" s="300">
        <v>6308.8010773998685</v>
      </c>
      <c r="L160" s="300">
        <v>6809.6144006471404</v>
      </c>
      <c r="M160" s="300">
        <f t="shared" si="59"/>
        <v>6564.0086303779326</v>
      </c>
      <c r="N160" s="300">
        <f t="shared" si="59"/>
        <v>6931.5931136790969</v>
      </c>
      <c r="O160" s="300">
        <f t="shared" si="59"/>
        <v>7319.7623280451271</v>
      </c>
      <c r="P160" s="300">
        <f t="shared" si="59"/>
        <v>7729.6690184156541</v>
      </c>
      <c r="Q160" s="4"/>
    </row>
    <row r="161" spans="1:18" ht="15.75" customHeight="1">
      <c r="A161" s="207" t="s">
        <v>46</v>
      </c>
      <c r="B161" s="209" t="s">
        <v>35</v>
      </c>
      <c r="C161" s="689">
        <f>C146+C85</f>
        <v>38221</v>
      </c>
      <c r="D161" s="689">
        <f t="shared" ref="D161:P161" si="60">D146+D85</f>
        <v>40339.197979999997</v>
      </c>
      <c r="E161" s="689"/>
      <c r="F161" s="689">
        <v>44150.151366945895</v>
      </c>
      <c r="G161" s="689">
        <v>44796</v>
      </c>
      <c r="H161" s="689">
        <f t="shared" si="60"/>
        <v>46468.611676714529</v>
      </c>
      <c r="I161" s="1055">
        <v>44406.131512635227</v>
      </c>
      <c r="J161" s="1376">
        <v>70834.058951924002</v>
      </c>
      <c r="K161" s="322">
        <v>57698.457388392868</v>
      </c>
      <c r="L161" s="322">
        <v>69554.660929367456</v>
      </c>
      <c r="M161" s="689">
        <f t="shared" si="60"/>
        <v>55260.768047994767</v>
      </c>
      <c r="N161" s="689">
        <f t="shared" si="60"/>
        <v>57525.357063224881</v>
      </c>
      <c r="O161" s="689">
        <f t="shared" si="60"/>
        <v>58703.267157961076</v>
      </c>
      <c r="P161" s="689">
        <f t="shared" si="60"/>
        <v>59950.069191530136</v>
      </c>
      <c r="Q161" s="4"/>
    </row>
    <row r="162" spans="1:18" ht="15.75" customHeight="1">
      <c r="A162" s="207"/>
      <c r="B162" s="209" t="s">
        <v>508</v>
      </c>
      <c r="C162" s="689">
        <f>C90+C151</f>
        <v>10881</v>
      </c>
      <c r="D162" s="1055">
        <f>D90+D151</f>
        <v>10745.09899</v>
      </c>
      <c r="E162" s="1055"/>
      <c r="F162" s="1055">
        <v>21917.571451090349</v>
      </c>
      <c r="G162" s="1055">
        <v>21917.571451090349</v>
      </c>
      <c r="H162" s="1055"/>
      <c r="I162" s="1055">
        <v>21668.712162694217</v>
      </c>
      <c r="J162" s="1376">
        <v>34617.203798508592</v>
      </c>
      <c r="K162" s="689">
        <v>28540.627019578769</v>
      </c>
      <c r="L162" s="689">
        <v>34497.574953459203</v>
      </c>
      <c r="M162" s="689">
        <f t="shared" ref="M162:P162" si="61">M90+M151</f>
        <v>27549.588351257375</v>
      </c>
      <c r="N162" s="689">
        <f t="shared" si="61"/>
        <v>28477.911838371572</v>
      </c>
      <c r="O162" s="689">
        <f t="shared" si="61"/>
        <v>29050.919950918185</v>
      </c>
      <c r="P162" s="689">
        <f t="shared" si="61"/>
        <v>29657.481004531219</v>
      </c>
      <c r="Q162" s="1391"/>
    </row>
    <row r="163" spans="1:18" ht="15.75" customHeight="1">
      <c r="A163" s="207"/>
      <c r="B163" s="209" t="s">
        <v>509</v>
      </c>
      <c r="C163" s="689">
        <f>C95+C156</f>
        <v>10881</v>
      </c>
      <c r="D163" s="1055">
        <f>D95+D156</f>
        <v>10745.09899</v>
      </c>
      <c r="E163" s="1055"/>
      <c r="F163" s="1055">
        <v>22232.579915855549</v>
      </c>
      <c r="G163" s="1055">
        <v>22232.579915855549</v>
      </c>
      <c r="H163" s="1055"/>
      <c r="I163" s="1055">
        <v>22737.419349941007</v>
      </c>
      <c r="J163" s="1376">
        <v>36216.85515341541</v>
      </c>
      <c r="K163" s="689">
        <v>29157.830368814095</v>
      </c>
      <c r="L163" s="689">
        <v>35057.085975908252</v>
      </c>
      <c r="M163" s="689">
        <f t="shared" ref="M163:P163" si="62">M95+M156</f>
        <v>27711.179696737396</v>
      </c>
      <c r="N163" s="689">
        <f t="shared" si="62"/>
        <v>29047.445224853305</v>
      </c>
      <c r="O163" s="689">
        <f t="shared" si="62"/>
        <v>29652.347207042898</v>
      </c>
      <c r="P163" s="689">
        <f t="shared" si="62"/>
        <v>30292.588186998913</v>
      </c>
      <c r="Q163" s="4"/>
    </row>
    <row r="164" spans="1:18" ht="15.75" customHeight="1">
      <c r="A164" s="207"/>
      <c r="B164" s="284" t="s">
        <v>1463</v>
      </c>
      <c r="C164" s="1047">
        <f>C85/12/C131*1000</f>
        <v>68977.977254573794</v>
      </c>
      <c r="D164" s="1047">
        <f>D85/12/D131*1000</f>
        <v>67850.641496804834</v>
      </c>
      <c r="E164" s="1047"/>
      <c r="F164" s="1047">
        <v>624512.47860747785</v>
      </c>
      <c r="G164" s="1047">
        <v>624512.47860747785</v>
      </c>
      <c r="H164" s="1047"/>
      <c r="I164" s="1047">
        <v>617325.10878455651</v>
      </c>
      <c r="J164" s="1362">
        <v>909339.72081323911</v>
      </c>
      <c r="K164" s="283">
        <v>751630.70846434741</v>
      </c>
      <c r="L164" s="283">
        <v>939647.91009323765</v>
      </c>
      <c r="M164" s="283">
        <f>M85/12/M130*1000</f>
        <v>667889.35063271073</v>
      </c>
      <c r="N164" s="283">
        <f>N85/12/N130*1000</f>
        <v>696860.2163344376</v>
      </c>
      <c r="O164" s="283">
        <f>O85/12/O130*1000</f>
        <v>695921.82028130675</v>
      </c>
      <c r="P164" s="283">
        <f>P85/12/P130*1000</f>
        <v>694988.15260910045</v>
      </c>
      <c r="Q164" s="4" t="s">
        <v>826</v>
      </c>
      <c r="R164" s="738"/>
    </row>
    <row r="165" spans="1:18" ht="15.75" customHeight="1">
      <c r="A165" s="207"/>
      <c r="B165" s="284" t="s">
        <v>506</v>
      </c>
      <c r="C165" s="1056">
        <f>C90/6/C131*1000</f>
        <v>68977.977254573794</v>
      </c>
      <c r="D165" s="1056">
        <f>D90/6/D131*1000</f>
        <v>67850.641496804834</v>
      </c>
      <c r="E165" s="1056"/>
      <c r="F165" s="1056">
        <v>624512.47860747785</v>
      </c>
      <c r="G165" s="1056">
        <v>624512.47860747785</v>
      </c>
      <c r="H165" s="1056"/>
      <c r="I165" s="1056">
        <v>617325.10878455651</v>
      </c>
      <c r="J165" s="1377">
        <v>909339.72081323911</v>
      </c>
      <c r="K165" s="283">
        <v>751630.70846434741</v>
      </c>
      <c r="L165" s="283">
        <v>939647.91009323765</v>
      </c>
      <c r="M165" s="283">
        <f>M90/6/M130*1000</f>
        <v>667889.35063271073</v>
      </c>
      <c r="N165" s="283">
        <f>N90/6/N130*1000</f>
        <v>696860.2163344376</v>
      </c>
      <c r="O165" s="283">
        <f>O90/6/O130*1000</f>
        <v>695921.82028130675</v>
      </c>
      <c r="P165" s="283">
        <f>P90/6/P130*1000</f>
        <v>694988.15260910045</v>
      </c>
      <c r="Q165" s="4" t="s">
        <v>826</v>
      </c>
    </row>
    <row r="166" spans="1:18" ht="15.75" customHeight="1">
      <c r="A166" s="207"/>
      <c r="B166" s="284" t="s">
        <v>507</v>
      </c>
      <c r="C166" s="1056">
        <f>C95/6/C131*1000</f>
        <v>68977.977254573794</v>
      </c>
      <c r="D166" s="1056">
        <f>D95/6/D131*1000</f>
        <v>67850.641496804834</v>
      </c>
      <c r="E166" s="1056"/>
      <c r="F166" s="1056">
        <v>624512.47860747785</v>
      </c>
      <c r="G166" s="1056">
        <v>624512.47860747785</v>
      </c>
      <c r="H166" s="1056"/>
      <c r="I166" s="1056">
        <v>617325.10878455651</v>
      </c>
      <c r="J166" s="1377">
        <v>909339.72081323911</v>
      </c>
      <c r="K166" s="283">
        <v>751630.70846434741</v>
      </c>
      <c r="L166" s="283">
        <v>939647.91009323765</v>
      </c>
      <c r="M166" s="283">
        <f>M95/6/M130*1000</f>
        <v>667889.35063271073</v>
      </c>
      <c r="N166" s="283">
        <f>N95/6/N130*1000</f>
        <v>696860.2163344376</v>
      </c>
      <c r="O166" s="283">
        <f>O95/6/O130*1000</f>
        <v>695921.82028130675</v>
      </c>
      <c r="P166" s="283">
        <f>P95/6/P130*1000</f>
        <v>694988.15260910045</v>
      </c>
      <c r="Q166" s="4" t="s">
        <v>826</v>
      </c>
    </row>
    <row r="167" spans="1:18" ht="20.25" customHeight="1">
      <c r="A167" s="211"/>
      <c r="B167" s="284" t="s">
        <v>1464</v>
      </c>
      <c r="C167" s="1047">
        <f>C146/C102*1000</f>
        <v>605.97753262545996</v>
      </c>
      <c r="D167" s="1047">
        <f>D146/D102*1000</f>
        <v>656.74690460678903</v>
      </c>
      <c r="E167" s="1047"/>
      <c r="F167" s="1047">
        <v>554.10494254898163</v>
      </c>
      <c r="G167" s="1047">
        <v>554.10494254898163</v>
      </c>
      <c r="H167" s="1047"/>
      <c r="I167" s="1047">
        <v>617.0011631540134</v>
      </c>
      <c r="J167" s="1362">
        <v>888.1786069208531</v>
      </c>
      <c r="K167" s="321">
        <v>859.46543765081412</v>
      </c>
      <c r="L167" s="321">
        <v>917.67719422870698</v>
      </c>
      <c r="M167" s="321">
        <f>M146/M125*1000</f>
        <v>900.69747684150718</v>
      </c>
      <c r="N167" s="321">
        <f>N146/N125*1000</f>
        <v>934.11528845033547</v>
      </c>
      <c r="O167" s="321">
        <f>O146/O125*1000</f>
        <v>986.42574460355399</v>
      </c>
      <c r="P167" s="321">
        <f>P146/P125*1000</f>
        <v>1041.6655863013534</v>
      </c>
      <c r="Q167" s="4" t="s">
        <v>1423</v>
      </c>
    </row>
    <row r="168" spans="1:18" ht="16.5" customHeight="1">
      <c r="A168" s="211"/>
      <c r="B168" s="284" t="s">
        <v>506</v>
      </c>
      <c r="C168" s="1056">
        <f>C151/C103*1000</f>
        <v>0</v>
      </c>
      <c r="D168" s="1056">
        <f>D151/D103*1000</f>
        <v>0</v>
      </c>
      <c r="E168" s="1056"/>
      <c r="F168" s="1056">
        <v>543.23042383601125</v>
      </c>
      <c r="G168" s="1056">
        <v>543.23042383601125</v>
      </c>
      <c r="H168" s="1056"/>
      <c r="I168" s="1056">
        <v>564.70703736303028</v>
      </c>
      <c r="J168" s="1377">
        <v>813.22503104006285</v>
      </c>
      <c r="K168" s="283">
        <v>827.00791789615096</v>
      </c>
      <c r="L168" s="283">
        <v>892.69749506907203</v>
      </c>
      <c r="M168" s="283">
        <f>M151/M127*1000</f>
        <v>892.69749506907192</v>
      </c>
      <c r="N168" s="283">
        <f>N151/N127*1000</f>
        <v>930.74290197100913</v>
      </c>
      <c r="O168" s="283">
        <f>O151/O128*1000</f>
        <v>961.95249374773903</v>
      </c>
      <c r="P168" s="283">
        <f>P151/P127*1000</f>
        <v>1037.9049167323433</v>
      </c>
      <c r="Q168" s="4" t="s">
        <v>1424</v>
      </c>
    </row>
    <row r="169" spans="1:18" ht="21" customHeight="1">
      <c r="A169" s="211"/>
      <c r="B169" s="284" t="s">
        <v>507</v>
      </c>
      <c r="C169" s="1056">
        <f>C156/C104*1000</f>
        <v>0</v>
      </c>
      <c r="D169" s="1056">
        <f>D156/D104*1000</f>
        <v>0</v>
      </c>
      <c r="E169" s="1056"/>
      <c r="F169" s="1056">
        <v>564.86762410640404</v>
      </c>
      <c r="G169" s="1056">
        <v>564.86762410640404</v>
      </c>
      <c r="H169" s="1056"/>
      <c r="I169" s="1056">
        <v>670.23353042352812</v>
      </c>
      <c r="J169" s="1377">
        <v>964.1726593657296</v>
      </c>
      <c r="K169" s="283">
        <v>892.37352014696421</v>
      </c>
      <c r="L169" s="283">
        <v>942.71879301028775</v>
      </c>
      <c r="M169" s="283">
        <f>M156/M128*1000</f>
        <v>908.71728254553284</v>
      </c>
      <c r="N169" s="283">
        <f>N156/N128*1000</f>
        <v>959.60545036808264</v>
      </c>
      <c r="O169" s="283">
        <f>O156/O128*1000</f>
        <v>1013.3433555886954</v>
      </c>
      <c r="P169" s="283">
        <f>P156/P128*1000</f>
        <v>1070.0905835016622</v>
      </c>
      <c r="Q169" s="4" t="s">
        <v>1462</v>
      </c>
    </row>
    <row r="170" spans="1:18" ht="15.75" customHeight="1">
      <c r="A170" s="211"/>
      <c r="B170" s="284" t="s">
        <v>1465</v>
      </c>
      <c r="C170" s="1047">
        <f>C161/C102*1000</f>
        <v>1407.1977200606177</v>
      </c>
      <c r="D170" s="1047">
        <f t="shared" ref="C170:D172" si="63">D161/D102*1000</f>
        <v>1405.5198370038431</v>
      </c>
      <c r="E170" s="1047"/>
      <c r="F170" s="1047">
        <v>1917.6541444184465</v>
      </c>
      <c r="G170" s="1047">
        <v>1917.6541444184465</v>
      </c>
      <c r="H170" s="1047"/>
      <c r="I170" s="1047">
        <v>1964.2646752171995</v>
      </c>
      <c r="J170" s="1362">
        <v>3070.7963303387523</v>
      </c>
      <c r="K170" s="321">
        <v>2501.3420639178421</v>
      </c>
      <c r="L170" s="321">
        <v>2967.9821177455706</v>
      </c>
      <c r="M170" s="321">
        <f t="shared" ref="M170:P172" si="64">M161/M126*1000</f>
        <v>2358.0442947725528</v>
      </c>
      <c r="N170" s="321">
        <f t="shared" si="64"/>
        <v>2484.1454878967434</v>
      </c>
      <c r="O170" s="321">
        <f t="shared" si="64"/>
        <v>2535.0117527296743</v>
      </c>
      <c r="P170" s="321">
        <f t="shared" si="64"/>
        <v>2588.8530116824345</v>
      </c>
      <c r="Q170" s="4" t="s">
        <v>1423</v>
      </c>
    </row>
    <row r="171" spans="1:18" ht="15.75" customHeight="1">
      <c r="A171" s="211"/>
      <c r="B171" s="284" t="s">
        <v>506</v>
      </c>
      <c r="C171" s="1056">
        <f t="shared" si="63"/>
        <v>794.19734501163259</v>
      </c>
      <c r="D171" s="1056">
        <f t="shared" si="63"/>
        <v>746.17903534696347</v>
      </c>
      <c r="E171" s="1056"/>
      <c r="F171" s="1056">
        <v>1913.8640806051651</v>
      </c>
      <c r="G171" s="1056">
        <v>1913.8640806051651</v>
      </c>
      <c r="H171" s="1056"/>
      <c r="I171" s="1056">
        <v>1900.0975239121551</v>
      </c>
      <c r="J171" s="1377">
        <v>2980.9010418073362</v>
      </c>
      <c r="K171" s="283">
        <v>2457.6446240918604</v>
      </c>
      <c r="L171" s="283">
        <v>2940.4683731213099</v>
      </c>
      <c r="M171" s="283">
        <f t="shared" si="64"/>
        <v>2348.2431257464518</v>
      </c>
      <c r="N171" s="283">
        <f t="shared" si="64"/>
        <v>2486.2853010626486</v>
      </c>
      <c r="O171" s="283">
        <f t="shared" si="64"/>
        <v>2536.3122010579877</v>
      </c>
      <c r="P171" s="283">
        <f t="shared" si="64"/>
        <v>2589.2684655606099</v>
      </c>
      <c r="Q171" s="4" t="s">
        <v>1424</v>
      </c>
    </row>
    <row r="172" spans="1:18" ht="15.75" customHeight="1">
      <c r="A172" s="211"/>
      <c r="B172" s="284" t="s">
        <v>507</v>
      </c>
      <c r="C172" s="1056">
        <f t="shared" si="63"/>
        <v>808.36833959761225</v>
      </c>
      <c r="D172" s="1056">
        <f t="shared" si="63"/>
        <v>751.38492637124921</v>
      </c>
      <c r="E172" s="1056"/>
      <c r="F172" s="1056">
        <v>1921.4052299589966</v>
      </c>
      <c r="G172" s="1056">
        <v>1921.4052299589966</v>
      </c>
      <c r="H172" s="1056"/>
      <c r="I172" s="1056">
        <v>2029.5830893458012</v>
      </c>
      <c r="J172" s="1377">
        <v>3161.939510512957</v>
      </c>
      <c r="K172" s="283">
        <v>2545.6460947105024</v>
      </c>
      <c r="L172" s="283">
        <v>2995.5640413490773</v>
      </c>
      <c r="M172" s="283">
        <f t="shared" si="64"/>
        <v>2367.8697510670254</v>
      </c>
      <c r="N172" s="283">
        <f t="shared" si="64"/>
        <v>2482.0512026705378</v>
      </c>
      <c r="O172" s="283">
        <f t="shared" si="64"/>
        <v>2533.7389735147312</v>
      </c>
      <c r="P172" s="283">
        <f t="shared" si="64"/>
        <v>2588.4463972484755</v>
      </c>
      <c r="Q172" s="4" t="s">
        <v>1462</v>
      </c>
    </row>
    <row r="173" spans="1:18" ht="15.75" customHeight="1">
      <c r="A173" s="211"/>
      <c r="B173" s="209"/>
      <c r="C173" s="209"/>
      <c r="D173" s="322"/>
      <c r="E173" s="322"/>
      <c r="F173" s="322"/>
      <c r="G173" s="322"/>
      <c r="H173" s="322"/>
      <c r="I173" s="1055"/>
      <c r="J173" s="1376"/>
      <c r="K173" s="322"/>
      <c r="L173" s="322"/>
      <c r="M173" s="322"/>
      <c r="N173" s="322"/>
      <c r="O173" s="322"/>
      <c r="P173" s="322"/>
      <c r="Q173" s="4"/>
    </row>
    <row r="174" spans="1:18" ht="15.75" customHeight="1">
      <c r="A174" s="211"/>
      <c r="B174" s="214" t="s">
        <v>580</v>
      </c>
      <c r="C174" s="214"/>
      <c r="D174" s="264"/>
      <c r="E174" s="264"/>
      <c r="F174" s="264"/>
      <c r="G174" s="264"/>
      <c r="H174" s="264"/>
      <c r="I174" s="1057">
        <f>I170/C170</f>
        <v>1.3958697112816421</v>
      </c>
      <c r="J174" s="1378">
        <v>1.5153724207818247</v>
      </c>
      <c r="K174" s="740">
        <f>K170/I170</f>
        <v>1.2734241446567047</v>
      </c>
      <c r="L174" s="740"/>
      <c r="M174" s="740">
        <f>M170/K170</f>
        <v>0.94271164619490599</v>
      </c>
      <c r="N174" s="740">
        <f>N170/M170</f>
        <v>1.053477024754683</v>
      </c>
      <c r="O174" s="740">
        <f>O170/N170</f>
        <v>1.0204763630313771</v>
      </c>
      <c r="P174" s="740">
        <f>P170/O170</f>
        <v>1.0212390569372249</v>
      </c>
      <c r="Q174" s="4"/>
    </row>
    <row r="175" spans="1:18" ht="15.75" customHeight="1">
      <c r="A175" s="211"/>
      <c r="B175" s="214" t="s">
        <v>786</v>
      </c>
      <c r="C175" s="214"/>
      <c r="D175" s="264"/>
      <c r="E175" s="264"/>
      <c r="F175" s="264"/>
      <c r="G175" s="264"/>
      <c r="H175" s="264"/>
      <c r="I175" s="1057">
        <f>I161/C161</f>
        <v>1.1618254758545101</v>
      </c>
      <c r="J175" s="1378">
        <v>1.5462067337627436</v>
      </c>
      <c r="K175" s="739">
        <f>K161/I161</f>
        <v>1.2993353715573146</v>
      </c>
      <c r="L175" s="739"/>
      <c r="M175" s="739">
        <f>M161/K161</f>
        <v>0.95775122159698345</v>
      </c>
      <c r="N175" s="739">
        <f>N161/M161</f>
        <v>1.0409800495943757</v>
      </c>
      <c r="O175" s="739">
        <f>O161/N161</f>
        <v>1.0204763630313773</v>
      </c>
      <c r="P175" s="739">
        <f>P161/O161</f>
        <v>1.0212390569372249</v>
      </c>
      <c r="Q175" s="4"/>
    </row>
    <row r="176" spans="1:18" ht="15.75" customHeight="1">
      <c r="A176" s="211"/>
      <c r="B176" s="741" t="s">
        <v>787</v>
      </c>
      <c r="C176" s="741"/>
      <c r="D176" s="742"/>
      <c r="E176" s="742"/>
      <c r="F176" s="742"/>
      <c r="G176" s="742"/>
      <c r="H176" s="742"/>
      <c r="I176" s="1058">
        <f>I85/C85</f>
        <v>1.3995766113965833</v>
      </c>
      <c r="J176" s="1379">
        <v>1.5800930617953326</v>
      </c>
      <c r="K176" s="739">
        <f>K85/I85</f>
        <v>1.243472410059151</v>
      </c>
      <c r="L176" s="739"/>
      <c r="M176" s="739">
        <f>M85/K85</f>
        <v>0.90177094648322242</v>
      </c>
      <c r="N176" s="739">
        <f>N85/M85</f>
        <v>1.0433767444776323</v>
      </c>
      <c r="O176" s="739">
        <f>O85/N85</f>
        <v>0.99865339413682286</v>
      </c>
      <c r="P176" s="739">
        <f>P85/O85</f>
        <v>0.99865837275826641</v>
      </c>
      <c r="Q176" s="4"/>
    </row>
    <row r="177" spans="1:17" ht="15.75" customHeight="1">
      <c r="A177" s="211"/>
      <c r="B177" s="741" t="s">
        <v>788</v>
      </c>
      <c r="C177" s="741"/>
      <c r="D177" s="742"/>
      <c r="E177" s="742"/>
      <c r="F177" s="742"/>
      <c r="G177" s="742"/>
      <c r="H177" s="742"/>
      <c r="I177" s="1058">
        <f>I146/C146</f>
        <v>0.84747222160658497</v>
      </c>
      <c r="J177" s="1379">
        <v>1.4687994691866781</v>
      </c>
      <c r="K177" s="739">
        <f>K146/I146</f>
        <v>1.4213159028703157</v>
      </c>
      <c r="L177" s="739"/>
      <c r="M177" s="739">
        <f>M146/K146</f>
        <v>1.0646929335202786</v>
      </c>
      <c r="N177" s="739">
        <f>N146/M146</f>
        <v>1.0371021485771397</v>
      </c>
      <c r="O177" s="739">
        <f>O146/N146</f>
        <v>1.0559999999999998</v>
      </c>
      <c r="P177" s="739">
        <f>P146/O146</f>
        <v>1.0560000000000003</v>
      </c>
      <c r="Q177" s="4"/>
    </row>
    <row r="178" spans="1:17" ht="30.75" customHeight="1">
      <c r="A178" s="515"/>
      <c r="B178" s="516" t="s">
        <v>675</v>
      </c>
      <c r="C178" s="516"/>
      <c r="D178" s="517"/>
      <c r="E178" s="517"/>
      <c r="F178" s="517"/>
      <c r="G178" s="517"/>
      <c r="H178" s="517"/>
      <c r="I178" s="1059"/>
      <c r="J178" s="1059"/>
      <c r="K178" s="518"/>
      <c r="L178" s="518"/>
      <c r="M178" s="518"/>
      <c r="N178" s="518"/>
      <c r="O178" s="519"/>
      <c r="P178" s="700"/>
      <c r="Q178" s="761"/>
    </row>
    <row r="179" spans="1:17" ht="15.75" customHeight="1">
      <c r="A179" s="513"/>
      <c r="B179" s="514" t="s">
        <v>581</v>
      </c>
      <c r="C179" s="548">
        <f t="shared" ref="C179:P179" si="65">SUM(C180:C184)</f>
        <v>0</v>
      </c>
      <c r="D179" s="548">
        <f t="shared" si="65"/>
        <v>0</v>
      </c>
      <c r="E179" s="548"/>
      <c r="F179" s="548"/>
      <c r="G179" s="548"/>
      <c r="H179" s="548"/>
      <c r="I179" s="1060">
        <f t="shared" si="65"/>
        <v>0</v>
      </c>
      <c r="J179" s="1060">
        <v>0</v>
      </c>
      <c r="K179" s="549">
        <f t="shared" si="65"/>
        <v>0</v>
      </c>
      <c r="L179" s="549"/>
      <c r="M179" s="549">
        <f t="shared" si="65"/>
        <v>0</v>
      </c>
      <c r="N179" s="549">
        <f t="shared" si="65"/>
        <v>0</v>
      </c>
      <c r="O179" s="549">
        <f t="shared" si="65"/>
        <v>0</v>
      </c>
      <c r="P179" s="760">
        <f t="shared" si="65"/>
        <v>0</v>
      </c>
      <c r="Q179" s="761"/>
    </row>
    <row r="180" spans="1:17" ht="15.75" customHeight="1">
      <c r="A180" s="211"/>
      <c r="B180" s="4" t="s">
        <v>36</v>
      </c>
      <c r="C180" s="306"/>
      <c r="D180" s="306"/>
      <c r="E180" s="306"/>
      <c r="F180" s="306"/>
      <c r="G180" s="306"/>
      <c r="H180" s="306"/>
      <c r="I180" s="1036"/>
      <c r="J180" s="1036"/>
      <c r="K180" s="306"/>
      <c r="L180" s="306"/>
      <c r="M180" s="306"/>
      <c r="N180" s="306"/>
      <c r="O180" s="306"/>
      <c r="P180" s="306"/>
      <c r="Q180" s="761"/>
    </row>
    <row r="181" spans="1:17" ht="15.75" customHeight="1">
      <c r="A181" s="211"/>
      <c r="B181" s="208" t="s">
        <v>37</v>
      </c>
      <c r="C181" s="306"/>
      <c r="D181" s="306"/>
      <c r="E181" s="306"/>
      <c r="F181" s="306"/>
      <c r="G181" s="306"/>
      <c r="H181" s="306"/>
      <c r="I181" s="1036"/>
      <c r="J181" s="1036"/>
      <c r="K181" s="306"/>
      <c r="L181" s="306"/>
      <c r="M181" s="306"/>
      <c r="N181" s="306"/>
      <c r="O181" s="306"/>
      <c r="P181" s="306"/>
      <c r="Q181" s="761"/>
    </row>
    <row r="182" spans="1:17" ht="15.75" customHeight="1">
      <c r="A182" s="211"/>
      <c r="B182" s="208" t="s">
        <v>38</v>
      </c>
      <c r="C182" s="306"/>
      <c r="D182" s="306"/>
      <c r="E182" s="306"/>
      <c r="F182" s="306"/>
      <c r="G182" s="306"/>
      <c r="H182" s="306"/>
      <c r="I182" s="1036"/>
      <c r="J182" s="1036"/>
      <c r="K182" s="550"/>
      <c r="L182" s="550"/>
      <c r="M182" s="550"/>
      <c r="N182" s="550"/>
      <c r="O182" s="550"/>
      <c r="P182" s="758"/>
      <c r="Q182" s="761"/>
    </row>
    <row r="183" spans="1:17" ht="15.75" customHeight="1">
      <c r="A183" s="211"/>
      <c r="B183" s="208" t="s">
        <v>39</v>
      </c>
      <c r="C183" s="306"/>
      <c r="D183" s="306"/>
      <c r="E183" s="306"/>
      <c r="F183" s="306"/>
      <c r="G183" s="306"/>
      <c r="H183" s="306"/>
      <c r="I183" s="311"/>
      <c r="J183" s="311"/>
      <c r="K183" s="550"/>
      <c r="L183" s="550"/>
      <c r="M183" s="550"/>
      <c r="N183" s="550"/>
      <c r="O183" s="550"/>
      <c r="P183" s="758"/>
      <c r="Q183" s="761"/>
    </row>
    <row r="184" spans="1:17" ht="15.75" customHeight="1">
      <c r="A184" s="211"/>
      <c r="B184" s="208" t="s">
        <v>40</v>
      </c>
      <c r="C184" s="306"/>
      <c r="D184" s="306"/>
      <c r="E184" s="306"/>
      <c r="F184" s="306"/>
      <c r="G184" s="306"/>
      <c r="H184" s="306"/>
      <c r="I184" s="1036"/>
      <c r="J184" s="1036"/>
      <c r="K184" s="550"/>
      <c r="L184" s="550"/>
      <c r="M184" s="550"/>
      <c r="N184" s="550"/>
      <c r="O184" s="550"/>
      <c r="P184" s="758"/>
      <c r="Q184" s="761"/>
    </row>
    <row r="199" spans="1:16" s="1104" customFormat="1">
      <c r="A199" s="677"/>
      <c r="B199" s="677"/>
      <c r="C199" s="677"/>
      <c r="D199" s="677"/>
      <c r="E199" s="677"/>
      <c r="F199" s="677"/>
      <c r="G199" s="677"/>
      <c r="H199" s="677"/>
      <c r="I199" s="1061"/>
      <c r="J199" s="1061"/>
      <c r="K199" s="677"/>
      <c r="L199" s="677"/>
      <c r="M199" s="677"/>
      <c r="N199" s="677"/>
      <c r="O199" s="677"/>
      <c r="P199" s="677"/>
    </row>
    <row r="200" spans="1:16" s="1104" customFormat="1">
      <c r="A200" s="677"/>
      <c r="B200" s="677"/>
      <c r="C200" s="677"/>
      <c r="D200" s="677"/>
      <c r="E200" s="677"/>
      <c r="F200" s="677"/>
      <c r="G200" s="677"/>
      <c r="H200" s="677"/>
      <c r="I200" s="1061"/>
      <c r="J200" s="1061"/>
      <c r="K200" s="677"/>
      <c r="L200" s="677"/>
      <c r="M200" s="677"/>
      <c r="N200" s="677"/>
      <c r="O200" s="677"/>
      <c r="P200" s="677"/>
    </row>
    <row r="201" spans="1:16" s="1104" customFormat="1">
      <c r="A201" s="677"/>
      <c r="B201" s="677"/>
      <c r="C201" s="677"/>
      <c r="D201" s="677"/>
      <c r="E201" s="677"/>
      <c r="F201" s="677"/>
      <c r="G201" s="677"/>
      <c r="H201" s="677"/>
      <c r="I201" s="1061"/>
      <c r="J201" s="1061"/>
      <c r="K201" s="677"/>
      <c r="L201" s="677"/>
      <c r="M201" s="677"/>
      <c r="N201" s="677"/>
      <c r="O201" s="677"/>
      <c r="P201" s="677"/>
    </row>
    <row r="208" spans="1:16" ht="15.75">
      <c r="P208" s="1280">
        <v>14</v>
      </c>
    </row>
  </sheetData>
  <mergeCells count="1">
    <mergeCell ref="A3:A4"/>
  </mergeCells>
  <conditionalFormatting sqref="K73:P73">
    <cfRule type="cellIs" dxfId="9" priority="1" stopIfTrue="1" operator="lessThan">
      <formula>0.12</formula>
    </cfRule>
    <cfRule type="containsText" dxfId="8" priority="2" stopIfTrue="1" operator="containsText" text="хорошо">
      <formula>NOT(ISERROR(SEARCH("хорошо",K73)))</formula>
    </cfRule>
  </conditionalFormatting>
  <pageMargins left="0.70866141732283472" right="0.43307086614173229" top="0.74803149606299213" bottom="0.74803149606299213" header="0.31496062992125984" footer="0.31496062992125984"/>
  <pageSetup paperSize="9" scale="46" firstPageNumber="9" fitToHeight="2" orientation="portrait" blackAndWhite="1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I25"/>
  <sheetViews>
    <sheetView workbookViewId="0">
      <selection activeCell="F14" sqref="F14"/>
    </sheetView>
  </sheetViews>
  <sheetFormatPr defaultRowHeight="12.75"/>
  <cols>
    <col min="1" max="1" width="10.5703125" customWidth="1"/>
    <col min="2" max="2" width="43.85546875" customWidth="1"/>
    <col min="3" max="3" width="19" customWidth="1"/>
    <col min="4" max="4" width="17" customWidth="1"/>
    <col min="5" max="6" width="22" customWidth="1"/>
    <col min="7" max="7" width="4.28515625" customWidth="1"/>
  </cols>
  <sheetData>
    <row r="1" spans="1:9" ht="121.5" customHeight="1">
      <c r="B1" s="461" t="s">
        <v>937</v>
      </c>
      <c r="C1" s="461"/>
      <c r="D1" s="461"/>
      <c r="E1" s="461"/>
      <c r="F1" s="462"/>
      <c r="G1" s="462"/>
      <c r="H1" s="462"/>
    </row>
    <row r="3" spans="1:9" s="1" customFormat="1">
      <c r="A3" s="1567" t="s">
        <v>265</v>
      </c>
      <c r="B3" s="1565" t="s">
        <v>242</v>
      </c>
      <c r="C3" s="349">
        <v>2018</v>
      </c>
      <c r="D3" s="349">
        <v>2019</v>
      </c>
      <c r="E3" s="1566">
        <v>2020</v>
      </c>
      <c r="F3" s="1566"/>
      <c r="G3" s="26"/>
    </row>
    <row r="4" spans="1:9" s="1" customFormat="1">
      <c r="A4" s="1568"/>
      <c r="B4" s="1565"/>
      <c r="C4" s="328" t="s">
        <v>511</v>
      </c>
      <c r="D4" s="328" t="s">
        <v>512</v>
      </c>
      <c r="E4" s="328" t="s">
        <v>513</v>
      </c>
      <c r="F4" s="328" t="s">
        <v>514</v>
      </c>
      <c r="G4" s="26"/>
    </row>
    <row r="5" spans="1:9" s="1" customFormat="1">
      <c r="B5" s="329">
        <v>1</v>
      </c>
      <c r="C5" s="330">
        <v>3</v>
      </c>
      <c r="D5" s="330">
        <v>4</v>
      </c>
      <c r="E5" s="330">
        <v>5</v>
      </c>
      <c r="F5" s="330">
        <v>6</v>
      </c>
      <c r="G5" s="26"/>
    </row>
    <row r="6" spans="1:9" s="1" customFormat="1" ht="31.5">
      <c r="A6" s="764" t="s">
        <v>50</v>
      </c>
      <c r="B6" s="1088" t="s">
        <v>51</v>
      </c>
      <c r="C6" s="765">
        <v>1157</v>
      </c>
      <c r="D6" s="765">
        <v>5549.833841658573</v>
      </c>
      <c r="E6" s="1097">
        <f>SUM(E7:E14)</f>
        <v>7820.7315900000012</v>
      </c>
      <c r="F6" s="765">
        <f>SUM(F7:F15)</f>
        <v>2102.89</v>
      </c>
      <c r="G6" s="26"/>
      <c r="H6" s="1">
        <f>F6/D6</f>
        <v>0.37891044308662569</v>
      </c>
      <c r="I6" s="1323">
        <f>E6-E14</f>
        <v>6416.511590000001</v>
      </c>
    </row>
    <row r="7" spans="1:9" s="1" customFormat="1" ht="15.75">
      <c r="A7" s="522"/>
      <c r="C7" s="1092"/>
      <c r="D7" s="1093"/>
      <c r="E7" s="1098"/>
      <c r="F7" s="1094"/>
      <c r="G7" s="769"/>
      <c r="H7" s="770"/>
    </row>
    <row r="8" spans="1:9" s="1" customFormat="1" ht="15.75">
      <c r="A8" s="522"/>
      <c r="B8" s="1089" t="str">
        <f>'Затраты на ремонт'!A5</f>
        <v>1. Ремонт воздушных линий ВЛ-6-10кВ</v>
      </c>
      <c r="C8" s="1095"/>
      <c r="D8" s="1099"/>
      <c r="E8" s="1100">
        <f>'Затраты на ремонт'!G6</f>
        <v>1437.34683</v>
      </c>
      <c r="F8" s="1099"/>
      <c r="G8" s="26"/>
      <c r="H8" s="771"/>
    </row>
    <row r="9" spans="1:9" s="1" customFormat="1" ht="15.75">
      <c r="A9" s="522"/>
      <c r="B9" s="1089" t="str">
        <f>'Затраты на ремонт'!A34</f>
        <v>2.Ремонт воздушных линий ВЛ-0,4кВ</v>
      </c>
      <c r="C9" s="1095"/>
      <c r="D9" s="1099"/>
      <c r="E9" s="1100">
        <f>'Затраты на ремонт'!G35</f>
        <v>3065.9693900000007</v>
      </c>
      <c r="F9" s="1099"/>
      <c r="G9" s="26"/>
    </row>
    <row r="10" spans="1:9" s="1" customFormat="1" ht="15.75">
      <c r="A10" s="522"/>
      <c r="B10" s="1090" t="str">
        <f>'Затраты на ремонт'!A79</f>
        <v>3.Ремонт кабельных линий 6-10кВ</v>
      </c>
      <c r="C10" s="1095"/>
      <c r="D10" s="1099"/>
      <c r="E10" s="1100">
        <f>'Затраты на ремонт'!G80</f>
        <v>298.00162000000006</v>
      </c>
      <c r="F10" s="1099"/>
      <c r="G10" s="26"/>
    </row>
    <row r="11" spans="1:9" s="1" customFormat="1" ht="15.75">
      <c r="A11" s="522"/>
      <c r="B11" s="1090" t="str">
        <f>'Затраты на ремонт'!A99</f>
        <v>4.Ремонт кабельных линий 0,4кВ</v>
      </c>
      <c r="C11" s="1095"/>
      <c r="D11" s="1099"/>
      <c r="E11" s="1100">
        <f>'Затраты на ремонт'!G100</f>
        <v>253.8989</v>
      </c>
      <c r="F11" s="1099"/>
      <c r="G11" s="26"/>
    </row>
    <row r="12" spans="1:9" ht="15.75">
      <c r="A12" s="1078"/>
      <c r="B12" s="1090" t="str">
        <f>'Затраты на ремонт'!A129</f>
        <v>5.Ремонт трансформаторных подстанций</v>
      </c>
      <c r="C12" s="1096"/>
      <c r="D12" s="1096"/>
      <c r="E12" s="1282">
        <f>'Затраты на ремонт'!G130</f>
        <v>1278.5840499999999</v>
      </c>
      <c r="F12" s="1096"/>
    </row>
    <row r="13" spans="1:9" ht="15.75">
      <c r="A13" s="1078"/>
      <c r="B13" s="1091" t="str">
        <f>B11</f>
        <v>4.Ремонт кабельных линий 0,4кВ</v>
      </c>
      <c r="C13" s="1096"/>
      <c r="D13" s="1096"/>
      <c r="E13" s="1282">
        <f>'Затраты на ремонт'!G160</f>
        <v>82.710800000000006</v>
      </c>
      <c r="F13" s="1096"/>
    </row>
    <row r="14" spans="1:9" ht="15.75">
      <c r="A14" s="1078"/>
      <c r="B14" s="781" t="s">
        <v>1378</v>
      </c>
      <c r="C14" s="1096"/>
      <c r="D14" s="1096"/>
      <c r="E14" s="1282">
        <f>2302*0.61</f>
        <v>1404.22</v>
      </c>
      <c r="F14" s="1324">
        <v>2102.89</v>
      </c>
    </row>
    <row r="15" spans="1:9" ht="15.75">
      <c r="A15" s="1078"/>
      <c r="B15" s="781"/>
      <c r="C15" s="1096"/>
      <c r="D15" s="1096"/>
      <c r="E15" s="1096"/>
      <c r="F15" s="1096"/>
    </row>
    <row r="16" spans="1:9" ht="15.75">
      <c r="B16" s="25"/>
      <c r="C16" s="25"/>
      <c r="D16" s="25"/>
      <c r="E16" s="25"/>
      <c r="F16" s="25"/>
    </row>
    <row r="18" spans="7:7" s="1104" customFormat="1"/>
    <row r="19" spans="7:7" s="1104" customFormat="1"/>
    <row r="20" spans="7:7" s="1104" customFormat="1"/>
    <row r="21" spans="7:7" s="1104" customFormat="1"/>
    <row r="25" spans="7:7" ht="15.75">
      <c r="G25" s="1281">
        <v>16</v>
      </c>
    </row>
  </sheetData>
  <mergeCells count="3">
    <mergeCell ref="B3:B4"/>
    <mergeCell ref="E3:F3"/>
    <mergeCell ref="A3:A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workbookViewId="0">
      <selection activeCell="F7" sqref="F7"/>
    </sheetView>
  </sheetViews>
  <sheetFormatPr defaultRowHeight="12.75"/>
  <cols>
    <col min="2" max="2" width="27" customWidth="1"/>
    <col min="4" max="6" width="12.85546875" customWidth="1"/>
  </cols>
  <sheetData>
    <row r="1" spans="1:8" ht="15.75">
      <c r="A1" s="461" t="s">
        <v>936</v>
      </c>
      <c r="G1">
        <v>17</v>
      </c>
    </row>
    <row r="3" spans="1:8">
      <c r="A3" s="1567" t="s">
        <v>265</v>
      </c>
      <c r="B3" s="1565" t="s">
        <v>242</v>
      </c>
      <c r="C3" s="349">
        <v>2018</v>
      </c>
      <c r="D3" s="349">
        <v>2019</v>
      </c>
      <c r="E3" s="1566">
        <v>2020</v>
      </c>
      <c r="F3" s="1566"/>
      <c r="G3" s="26"/>
    </row>
    <row r="4" spans="1:8" ht="25.5">
      <c r="A4" s="1568"/>
      <c r="B4" s="1565"/>
      <c r="C4" s="328" t="s">
        <v>511</v>
      </c>
      <c r="D4" s="328" t="s">
        <v>512</v>
      </c>
      <c r="E4" s="328" t="s">
        <v>513</v>
      </c>
      <c r="F4" s="328" t="s">
        <v>514</v>
      </c>
      <c r="G4" s="26"/>
    </row>
    <row r="5" spans="1:8">
      <c r="A5" s="1"/>
      <c r="B5" s="329">
        <v>1</v>
      </c>
      <c r="C5" s="330">
        <v>3</v>
      </c>
      <c r="D5" s="330">
        <v>4</v>
      </c>
      <c r="E5" s="330">
        <v>5</v>
      </c>
      <c r="F5" s="330">
        <v>6</v>
      </c>
      <c r="G5" s="26"/>
    </row>
    <row r="6" spans="1:8" ht="25.5">
      <c r="A6" s="764" t="s">
        <v>52</v>
      </c>
      <c r="B6" s="544" t="s">
        <v>817</v>
      </c>
      <c r="C6" s="693">
        <f>SUM(C7:C21)</f>
        <v>0</v>
      </c>
      <c r="D6" s="693">
        <f>SUM(D7:D21)</f>
        <v>422.62313999999998</v>
      </c>
      <c r="E6" s="1116">
        <f>SUM(E7:E21)</f>
        <v>907.89924775656323</v>
      </c>
      <c r="F6" s="693">
        <f>SUM(F7:F21)</f>
        <v>455.76102040739994</v>
      </c>
      <c r="G6" s="285"/>
    </row>
    <row r="7" spans="1:8" ht="25.5">
      <c r="A7" s="522"/>
      <c r="B7" s="1114" t="s">
        <v>1379</v>
      </c>
      <c r="C7" s="556"/>
      <c r="D7" s="556">
        <f>302.66*0+7.38+3.6+6.33+14.28+14.28+23.795+99.83+72.728+90.11697+90.28317</f>
        <v>422.62313999999998</v>
      </c>
      <c r="E7" s="1028">
        <v>524.23</v>
      </c>
      <c r="F7" s="791">
        <f>D7*1.047*1.03</f>
        <v>455.76102040739994</v>
      </c>
      <c r="G7" s="26"/>
    </row>
    <row r="8" spans="1:8">
      <c r="A8" s="522"/>
      <c r="B8" s="208" t="s">
        <v>1380</v>
      </c>
      <c r="C8" s="556"/>
      <c r="D8" s="556"/>
      <c r="E8" s="1028">
        <v>383.66924775656321</v>
      </c>
      <c r="F8" s="791">
        <v>0</v>
      </c>
      <c r="G8" s="26"/>
      <c r="H8" t="s">
        <v>1432</v>
      </c>
    </row>
    <row r="9" spans="1:8">
      <c r="A9" s="522"/>
      <c r="B9" s="694"/>
      <c r="C9" s="556"/>
      <c r="D9" s="556"/>
      <c r="E9" s="556"/>
      <c r="F9" s="789"/>
      <c r="G9" s="26"/>
    </row>
    <row r="10" spans="1:8">
      <c r="A10" s="522"/>
      <c r="B10" s="694"/>
      <c r="C10" s="556"/>
      <c r="D10" s="556"/>
      <c r="E10" s="556"/>
      <c r="F10" s="791"/>
      <c r="G10" s="26"/>
    </row>
    <row r="11" spans="1:8">
      <c r="A11" s="522"/>
      <c r="B11" s="694"/>
      <c r="C11" s="556"/>
      <c r="D11" s="556"/>
      <c r="E11" s="556"/>
      <c r="F11" s="791"/>
      <c r="G11" s="26"/>
    </row>
    <row r="12" spans="1:8">
      <c r="A12" s="522"/>
      <c r="B12" s="694"/>
      <c r="C12" s="556"/>
      <c r="D12" s="556"/>
      <c r="E12" s="556"/>
      <c r="F12" s="556"/>
      <c r="G12" s="26"/>
    </row>
    <row r="13" spans="1:8">
      <c r="A13" s="522"/>
      <c r="B13" s="694"/>
      <c r="C13" s="556"/>
      <c r="D13" s="556"/>
      <c r="E13" s="556"/>
      <c r="F13" s="791"/>
      <c r="G13" s="26"/>
    </row>
    <row r="14" spans="1:8">
      <c r="A14" s="522"/>
      <c r="B14" s="694"/>
      <c r="C14" s="556"/>
      <c r="D14" s="556"/>
      <c r="E14" s="556"/>
      <c r="F14" s="791"/>
      <c r="G14" s="26"/>
    </row>
    <row r="15" spans="1:8">
      <c r="A15" s="522"/>
      <c r="B15" s="694"/>
      <c r="C15" s="556"/>
      <c r="D15" s="556"/>
      <c r="E15" s="556"/>
      <c r="F15" s="790"/>
      <c r="G15" s="26"/>
    </row>
    <row r="16" spans="1:8">
      <c r="A16" s="522"/>
      <c r="B16" s="694"/>
      <c r="C16" s="556"/>
      <c r="D16" s="556"/>
      <c r="E16" s="556"/>
      <c r="F16" s="790"/>
      <c r="G16" s="26"/>
    </row>
    <row r="17" spans="1:7">
      <c r="A17" s="522"/>
      <c r="B17" s="695"/>
      <c r="C17" s="556"/>
      <c r="D17" s="556"/>
      <c r="E17" s="556"/>
      <c r="F17" s="791"/>
      <c r="G17" s="26"/>
    </row>
    <row r="18" spans="1:7">
      <c r="A18" s="522"/>
      <c r="B18" s="694"/>
      <c r="C18" s="556"/>
      <c r="D18" s="556"/>
      <c r="E18" s="556"/>
      <c r="F18" s="791"/>
      <c r="G18" s="26"/>
    </row>
    <row r="19" spans="1:7">
      <c r="A19" s="522"/>
      <c r="B19" s="694"/>
      <c r="C19" s="556"/>
      <c r="D19" s="556"/>
      <c r="E19" s="556"/>
      <c r="F19" s="556"/>
      <c r="G19" s="26"/>
    </row>
    <row r="20" spans="1:7">
      <c r="A20" s="522"/>
      <c r="B20" s="694"/>
      <c r="C20" s="556"/>
      <c r="D20" s="556"/>
      <c r="E20" s="556"/>
      <c r="F20" s="556"/>
      <c r="G20" s="26"/>
    </row>
    <row r="21" spans="1:7">
      <c r="A21" s="522"/>
      <c r="B21" s="696"/>
      <c r="C21" s="556"/>
      <c r="D21" s="556"/>
      <c r="E21" s="556"/>
      <c r="F21" s="556"/>
      <c r="G21" s="26"/>
    </row>
  </sheetData>
  <protectedRanges>
    <protectedRange sqref="E7:E21 C7:C21" name="Диапазон1_2_1"/>
    <protectedRange sqref="B17" name="Диапазон1_1_3_1"/>
  </protectedRanges>
  <mergeCells count="3">
    <mergeCell ref="A3:A4"/>
    <mergeCell ref="B3:B4"/>
    <mergeCell ref="E3:F3"/>
  </mergeCells>
  <pageMargins left="0.70866141732283472" right="0" top="0.35433070866141736" bottom="0.74803149606299213" header="0" footer="0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8">
    <tabColor indexed="45"/>
    <pageSetUpPr fitToPage="1"/>
  </sheetPr>
  <dimension ref="A1:N174"/>
  <sheetViews>
    <sheetView topLeftCell="A136" workbookViewId="0">
      <selection activeCell="J169" sqref="J169"/>
    </sheetView>
  </sheetViews>
  <sheetFormatPr defaultColWidth="4.7109375" defaultRowHeight="12.75"/>
  <cols>
    <col min="1" max="1" width="4.42578125" style="5" customWidth="1"/>
    <col min="2" max="2" width="18.140625" style="5" customWidth="1"/>
    <col min="3" max="3" width="78.5703125" style="5" customWidth="1"/>
    <col min="4" max="4" width="8.7109375" style="5" customWidth="1"/>
    <col min="5" max="5" width="10" style="5" customWidth="1"/>
    <col min="6" max="6" width="12" style="5" customWidth="1"/>
    <col min="7" max="7" width="13.42578125" style="5" customWidth="1"/>
    <col min="8" max="8" width="4.7109375" style="5" customWidth="1"/>
    <col min="9" max="9" width="4.7109375" style="5"/>
    <col min="10" max="10" width="9.140625" style="5" bestFit="1" customWidth="1"/>
    <col min="11" max="16384" width="4.7109375" style="5"/>
  </cols>
  <sheetData>
    <row r="1" spans="1:10">
      <c r="A1" s="118"/>
      <c r="H1" s="5">
        <v>18</v>
      </c>
    </row>
    <row r="2" spans="1:10" ht="12.75" customHeight="1">
      <c r="B2" s="1069" t="s">
        <v>1273</v>
      </c>
      <c r="C2" s="6"/>
      <c r="D2" s="1070" t="str">
        <f>'Реквизиты организации'!C8</f>
        <v>МУ МПЖКХ Гусь-Железный</v>
      </c>
      <c r="F2" s="6"/>
      <c r="G2" s="6"/>
    </row>
    <row r="3" spans="1:10" ht="12.75" customHeight="1">
      <c r="A3" s="6"/>
      <c r="B3" s="6"/>
      <c r="C3" s="6"/>
      <c r="D3" s="6"/>
      <c r="E3" s="6"/>
      <c r="F3" s="6"/>
      <c r="G3" s="6"/>
    </row>
    <row r="4" spans="1:10" s="10" customFormat="1" ht="67.5">
      <c r="A4" s="8" t="s">
        <v>241</v>
      </c>
      <c r="B4" s="8" t="s">
        <v>242</v>
      </c>
      <c r="C4" s="8" t="s">
        <v>258</v>
      </c>
      <c r="D4" s="8" t="s">
        <v>261</v>
      </c>
      <c r="E4" s="8" t="s">
        <v>259</v>
      </c>
      <c r="F4" s="8" t="s">
        <v>263</v>
      </c>
      <c r="G4" s="8" t="s">
        <v>264</v>
      </c>
      <c r="J4" s="10" t="s">
        <v>1453</v>
      </c>
    </row>
    <row r="5" spans="1:10" s="3" customFormat="1" ht="12.75" customHeight="1" thickBot="1">
      <c r="A5" s="1580" t="s">
        <v>321</v>
      </c>
      <c r="B5" s="1581"/>
      <c r="C5" s="1581"/>
      <c r="D5" s="1581"/>
      <c r="E5" s="1581"/>
      <c r="F5" s="1581"/>
      <c r="G5" s="1589"/>
      <c r="H5" s="11"/>
    </row>
    <row r="6" spans="1:10" s="10" customFormat="1" ht="12" customHeight="1" thickBot="1">
      <c r="A6" s="1586" t="s">
        <v>295</v>
      </c>
      <c r="B6" s="1587" t="s">
        <v>418</v>
      </c>
      <c r="C6" s="1569" t="s">
        <v>416</v>
      </c>
      <c r="D6" s="1569"/>
      <c r="E6" s="1569"/>
      <c r="F6" s="1570"/>
      <c r="G6" s="14">
        <f>SUM(G7:G32)</f>
        <v>1437.34683</v>
      </c>
      <c r="J6" s="10">
        <f>1073.53817+238.059+18.0075+68.2349+30.56016</f>
        <v>1428.3997299999999</v>
      </c>
    </row>
    <row r="7" spans="1:10" s="10" customFormat="1" ht="11.25">
      <c r="A7" s="1586"/>
      <c r="B7" s="1587"/>
      <c r="C7" s="1064" t="s">
        <v>1147</v>
      </c>
      <c r="D7" s="1065" t="s">
        <v>1148</v>
      </c>
      <c r="E7" s="1065">
        <v>3000</v>
      </c>
      <c r="F7" s="1023">
        <f>[11]Лист1!$F$7</f>
        <v>45.6</v>
      </c>
      <c r="G7" s="30">
        <f>E7*F7/1000</f>
        <v>136.80000000000001</v>
      </c>
    </row>
    <row r="8" spans="1:10" s="10" customFormat="1" ht="11.25">
      <c r="A8" s="1586"/>
      <c r="B8" s="1587"/>
      <c r="C8" s="1064" t="s">
        <v>1149</v>
      </c>
      <c r="D8" s="1065" t="s">
        <v>690</v>
      </c>
      <c r="E8" s="1065">
        <v>32</v>
      </c>
      <c r="F8" s="8">
        <f>[11]Лист1!$F$8</f>
        <v>10500</v>
      </c>
      <c r="G8" s="1075">
        <f t="shared" ref="G8:G31" si="0">E8*F8/1000</f>
        <v>336</v>
      </c>
    </row>
    <row r="9" spans="1:10" s="10" customFormat="1" ht="11.25">
      <c r="A9" s="1586"/>
      <c r="B9" s="1587"/>
      <c r="C9" s="1064" t="s">
        <v>1150</v>
      </c>
      <c r="D9" s="1065"/>
      <c r="E9" s="1065">
        <v>0</v>
      </c>
      <c r="F9" s="8"/>
      <c r="G9" s="1075">
        <f t="shared" si="0"/>
        <v>0</v>
      </c>
    </row>
    <row r="10" spans="1:10" s="10" customFormat="1" ht="11.25">
      <c r="A10" s="1586"/>
      <c r="B10" s="1587"/>
      <c r="C10" s="1066" t="s">
        <v>1151</v>
      </c>
      <c r="D10" s="1065" t="s">
        <v>690</v>
      </c>
      <c r="E10" s="1065">
        <v>75</v>
      </c>
      <c r="F10" s="8">
        <f>[11]Лист1!F10</f>
        <v>131.66999999999999</v>
      </c>
      <c r="G10" s="1075">
        <f t="shared" si="0"/>
        <v>9.8752499999999976</v>
      </c>
    </row>
    <row r="11" spans="1:10" s="10" customFormat="1" ht="11.25">
      <c r="A11" s="1586"/>
      <c r="B11" s="1587"/>
      <c r="C11" s="1064" t="s">
        <v>1152</v>
      </c>
      <c r="D11" s="1065" t="s">
        <v>690</v>
      </c>
      <c r="E11" s="1065">
        <v>299</v>
      </c>
      <c r="F11" s="1077">
        <f>[11]Лист1!F11</f>
        <v>366.9</v>
      </c>
      <c r="G11" s="1075">
        <f t="shared" si="0"/>
        <v>109.70309999999999</v>
      </c>
    </row>
    <row r="12" spans="1:10" s="10" customFormat="1" ht="11.25">
      <c r="A12" s="1586"/>
      <c r="B12" s="1587"/>
      <c r="C12" s="1064" t="s">
        <v>1153</v>
      </c>
      <c r="D12" s="1065" t="s">
        <v>690</v>
      </c>
      <c r="E12" s="1065">
        <v>15</v>
      </c>
      <c r="F12" s="1077">
        <f>[11]Лист1!F12</f>
        <v>177.5</v>
      </c>
      <c r="G12" s="1075">
        <f t="shared" si="0"/>
        <v>2.6625000000000001</v>
      </c>
    </row>
    <row r="13" spans="1:10" s="10" customFormat="1" ht="11.25">
      <c r="A13" s="1586"/>
      <c r="B13" s="1587"/>
      <c r="C13" s="1064" t="s">
        <v>1154</v>
      </c>
      <c r="D13" s="1065" t="s">
        <v>690</v>
      </c>
      <c r="E13" s="1065">
        <v>222</v>
      </c>
      <c r="F13" s="1077">
        <f>[11]Лист1!F13</f>
        <v>20.3</v>
      </c>
      <c r="G13" s="1075">
        <f t="shared" si="0"/>
        <v>4.5066000000000006</v>
      </c>
    </row>
    <row r="14" spans="1:10" s="10" customFormat="1" ht="11.25">
      <c r="A14" s="1586"/>
      <c r="B14" s="1587"/>
      <c r="C14" s="1064" t="s">
        <v>1155</v>
      </c>
      <c r="D14" s="1065" t="s">
        <v>690</v>
      </c>
      <c r="E14" s="1065">
        <v>148</v>
      </c>
      <c r="F14" s="1077">
        <f>[11]Лист1!F14</f>
        <v>23.75</v>
      </c>
      <c r="G14" s="1075">
        <f t="shared" si="0"/>
        <v>3.5150000000000001</v>
      </c>
    </row>
    <row r="15" spans="1:10" s="10" customFormat="1" ht="11.25">
      <c r="A15" s="1586"/>
      <c r="B15" s="1587"/>
      <c r="C15" s="1064" t="s">
        <v>1156</v>
      </c>
      <c r="D15" s="1065" t="s">
        <v>690</v>
      </c>
      <c r="E15" s="1065">
        <v>48</v>
      </c>
      <c r="F15" s="1077">
        <f>[11]Лист1!F15</f>
        <v>50.79</v>
      </c>
      <c r="G15" s="1075">
        <f t="shared" si="0"/>
        <v>2.4379200000000001</v>
      </c>
    </row>
    <row r="16" spans="1:10" s="10" customFormat="1" ht="11.25">
      <c r="A16" s="1586"/>
      <c r="B16" s="1587"/>
      <c r="C16" s="1064" t="s">
        <v>1157</v>
      </c>
      <c r="D16" s="1065" t="s">
        <v>690</v>
      </c>
      <c r="E16" s="1065">
        <v>48</v>
      </c>
      <c r="F16" s="1077">
        <f>[11]Лист1!F16</f>
        <v>94.6</v>
      </c>
      <c r="G16" s="1075">
        <f t="shared" si="0"/>
        <v>4.5407999999999991</v>
      </c>
    </row>
    <row r="17" spans="1:7" s="10" customFormat="1" ht="11.25">
      <c r="A17" s="1586"/>
      <c r="B17" s="1587"/>
      <c r="C17" s="1064" t="s">
        <v>1158</v>
      </c>
      <c r="D17" s="1065" t="s">
        <v>690</v>
      </c>
      <c r="E17" s="1065">
        <v>91</v>
      </c>
      <c r="F17" s="1077">
        <f>[11]Лист1!F17</f>
        <v>46.02</v>
      </c>
      <c r="G17" s="1075">
        <f t="shared" si="0"/>
        <v>4.1878200000000003</v>
      </c>
    </row>
    <row r="18" spans="1:7" s="10" customFormat="1" ht="11.25">
      <c r="A18" s="1586"/>
      <c r="B18" s="1587"/>
      <c r="C18" s="1064" t="s">
        <v>1159</v>
      </c>
      <c r="D18" s="1065" t="s">
        <v>690</v>
      </c>
      <c r="E18" s="1065">
        <v>91</v>
      </c>
      <c r="F18" s="1077">
        <f>[11]Лист1!F18</f>
        <v>63.19</v>
      </c>
      <c r="G18" s="1075">
        <f t="shared" si="0"/>
        <v>5.7502899999999997</v>
      </c>
    </row>
    <row r="19" spans="1:7" s="10" customFormat="1" ht="11.25">
      <c r="A19" s="1586"/>
      <c r="B19" s="1587"/>
      <c r="C19" s="1064" t="s">
        <v>1160</v>
      </c>
      <c r="D19" s="1065" t="s">
        <v>690</v>
      </c>
      <c r="E19" s="1065">
        <v>222</v>
      </c>
      <c r="F19" s="1077">
        <f>[11]Лист1!F19</f>
        <v>141.69999999999999</v>
      </c>
      <c r="G19" s="1075">
        <f t="shared" si="0"/>
        <v>31.457399999999996</v>
      </c>
    </row>
    <row r="20" spans="1:7" s="10" customFormat="1" ht="11.25">
      <c r="A20" s="1586"/>
      <c r="B20" s="1587"/>
      <c r="C20" s="1064" t="s">
        <v>1161</v>
      </c>
      <c r="D20" s="1065" t="s">
        <v>690</v>
      </c>
      <c r="E20" s="1065">
        <v>95</v>
      </c>
      <c r="F20" s="1077">
        <f>[11]Лист1!F20</f>
        <v>412.5</v>
      </c>
      <c r="G20" s="1075">
        <f t="shared" si="0"/>
        <v>39.1875</v>
      </c>
    </row>
    <row r="21" spans="1:7" s="10" customFormat="1" ht="11.25">
      <c r="A21" s="1586"/>
      <c r="B21" s="1587"/>
      <c r="C21" s="1064" t="s">
        <v>1162</v>
      </c>
      <c r="D21" s="1065" t="s">
        <v>690</v>
      </c>
      <c r="E21" s="1065">
        <v>95</v>
      </c>
      <c r="F21" s="1077">
        <f>[11]Лист1!F21</f>
        <v>436.25</v>
      </c>
      <c r="G21" s="1075">
        <f t="shared" si="0"/>
        <v>41.443750000000001</v>
      </c>
    </row>
    <row r="22" spans="1:7" s="10" customFormat="1" ht="11.25">
      <c r="A22" s="1586"/>
      <c r="B22" s="1587"/>
      <c r="C22" s="1064" t="s">
        <v>1163</v>
      </c>
      <c r="D22" s="1065" t="s">
        <v>1148</v>
      </c>
      <c r="E22" s="1065">
        <v>1027</v>
      </c>
      <c r="F22" s="1077">
        <f>[11]Лист1!F22</f>
        <v>45</v>
      </c>
      <c r="G22" s="1075">
        <f t="shared" si="0"/>
        <v>46.215000000000003</v>
      </c>
    </row>
    <row r="23" spans="1:7" s="10" customFormat="1" ht="11.25">
      <c r="A23" s="1586"/>
      <c r="B23" s="1587"/>
      <c r="C23" s="1064" t="s">
        <v>1164</v>
      </c>
      <c r="D23" s="1065" t="s">
        <v>1148</v>
      </c>
      <c r="E23" s="1065">
        <v>1027</v>
      </c>
      <c r="F23" s="1077">
        <f>[11]Лист1!F23</f>
        <v>62.5</v>
      </c>
      <c r="G23" s="1075">
        <f t="shared" si="0"/>
        <v>64.1875</v>
      </c>
    </row>
    <row r="24" spans="1:7" s="10" customFormat="1" ht="11.25">
      <c r="A24" s="1586"/>
      <c r="B24" s="1587"/>
      <c r="C24" s="1064" t="s">
        <v>1165</v>
      </c>
      <c r="D24" s="1065" t="s">
        <v>690</v>
      </c>
      <c r="E24" s="1065">
        <v>68</v>
      </c>
      <c r="F24" s="1077">
        <f>[11]Лист1!F24</f>
        <v>1286.25</v>
      </c>
      <c r="G24" s="1075">
        <f t="shared" si="0"/>
        <v>87.465000000000003</v>
      </c>
    </row>
    <row r="25" spans="1:7" s="10" customFormat="1" ht="11.25">
      <c r="A25" s="1586"/>
      <c r="B25" s="1587"/>
      <c r="C25" s="1064" t="s">
        <v>1166</v>
      </c>
      <c r="D25" s="1065" t="s">
        <v>690</v>
      </c>
      <c r="E25" s="1065">
        <v>52</v>
      </c>
      <c r="F25" s="1077">
        <f>[11]Лист1!F25</f>
        <v>5832.5</v>
      </c>
      <c r="G25" s="1075">
        <f t="shared" si="0"/>
        <v>303.29000000000002</v>
      </c>
    </row>
    <row r="26" spans="1:7" s="10" customFormat="1" ht="11.25">
      <c r="A26" s="1586"/>
      <c r="B26" s="1587"/>
      <c r="C26" s="1064" t="s">
        <v>1167</v>
      </c>
      <c r="D26" s="1065" t="s">
        <v>1168</v>
      </c>
      <c r="E26" s="1065">
        <v>385</v>
      </c>
      <c r="F26" s="1077">
        <f>[11]Лист1!F26</f>
        <v>213.87</v>
      </c>
      <c r="G26" s="1075">
        <f t="shared" si="0"/>
        <v>82.339950000000002</v>
      </c>
    </row>
    <row r="27" spans="1:7" s="10" customFormat="1" ht="11.25">
      <c r="A27" s="1586"/>
      <c r="B27" s="1587"/>
      <c r="C27" s="1064" t="s">
        <v>1169</v>
      </c>
      <c r="D27" s="1065" t="s">
        <v>1168</v>
      </c>
      <c r="E27" s="1065">
        <v>189</v>
      </c>
      <c r="F27" s="1077">
        <f>[11]Лист1!F27</f>
        <v>25.4</v>
      </c>
      <c r="G27" s="1075">
        <f t="shared" si="0"/>
        <v>4.8005999999999993</v>
      </c>
    </row>
    <row r="28" spans="1:7" s="10" customFormat="1" ht="11.25">
      <c r="A28" s="1586"/>
      <c r="B28" s="1587"/>
      <c r="C28" s="1064" t="s">
        <v>1170</v>
      </c>
      <c r="D28" s="1065" t="s">
        <v>690</v>
      </c>
      <c r="E28" s="1065">
        <v>377</v>
      </c>
      <c r="F28" s="1077">
        <f>[11]Лист1!F28</f>
        <v>123.75</v>
      </c>
      <c r="G28" s="1075">
        <f t="shared" si="0"/>
        <v>46.653750000000002</v>
      </c>
    </row>
    <row r="29" spans="1:7" s="10" customFormat="1" ht="11.25">
      <c r="A29" s="1586"/>
      <c r="B29" s="1587"/>
      <c r="C29" s="1064" t="s">
        <v>1171</v>
      </c>
      <c r="D29" s="1065" t="s">
        <v>1148</v>
      </c>
      <c r="E29" s="1065">
        <v>34</v>
      </c>
      <c r="F29" s="1077">
        <v>149</v>
      </c>
      <c r="G29" s="1075">
        <f t="shared" si="0"/>
        <v>5.0659999999999998</v>
      </c>
    </row>
    <row r="30" spans="1:7" s="10" customFormat="1" ht="11.25">
      <c r="A30" s="1586"/>
      <c r="B30" s="1587"/>
      <c r="C30" s="1064" t="s">
        <v>1172</v>
      </c>
      <c r="D30" s="1065" t="s">
        <v>690</v>
      </c>
      <c r="E30" s="1065">
        <v>7</v>
      </c>
      <c r="F30" s="1077">
        <f>[11]Лист1!F30</f>
        <v>8687.5</v>
      </c>
      <c r="G30" s="1075">
        <f t="shared" si="0"/>
        <v>60.8125</v>
      </c>
    </row>
    <row r="31" spans="1:7" s="10" customFormat="1" ht="11.25">
      <c r="A31" s="1586"/>
      <c r="B31" s="1587"/>
      <c r="C31" s="1064" t="s">
        <v>1173</v>
      </c>
      <c r="D31" s="1065" t="s">
        <v>1168</v>
      </c>
      <c r="E31" s="1065">
        <v>377</v>
      </c>
      <c r="F31" s="1077">
        <f>11.8</f>
        <v>11.8</v>
      </c>
      <c r="G31" s="1075">
        <f t="shared" si="0"/>
        <v>4.4486000000000008</v>
      </c>
    </row>
    <row r="32" spans="1:7" s="10" customFormat="1" ht="13.5" customHeight="1" thickBot="1">
      <c r="A32" s="1586"/>
      <c r="B32" s="1587"/>
      <c r="C32" s="8"/>
      <c r="D32" s="13"/>
      <c r="E32" s="13"/>
      <c r="F32" s="13"/>
      <c r="G32" s="13"/>
    </row>
    <row r="33" spans="1:10" s="10" customFormat="1" ht="14.25" customHeight="1" thickBot="1">
      <c r="A33" s="12" t="s">
        <v>257</v>
      </c>
      <c r="B33" s="1569" t="s">
        <v>417</v>
      </c>
      <c r="C33" s="1569"/>
      <c r="D33" s="1569"/>
      <c r="E33" s="1569"/>
      <c r="F33" s="1570"/>
      <c r="G33" s="14"/>
    </row>
    <row r="34" spans="1:10" s="15" customFormat="1" ht="14.25" customHeight="1" thickBot="1">
      <c r="A34" s="1580" t="s">
        <v>322</v>
      </c>
      <c r="B34" s="1581"/>
      <c r="C34" s="1581"/>
      <c r="D34" s="1581"/>
      <c r="E34" s="1581"/>
      <c r="F34" s="1581"/>
      <c r="G34" s="1582"/>
      <c r="H34" s="11"/>
    </row>
    <row r="35" spans="1:10" s="10" customFormat="1" ht="12" customHeight="1" thickBot="1">
      <c r="A35" s="1586" t="s">
        <v>244</v>
      </c>
      <c r="B35" s="1571" t="s">
        <v>418</v>
      </c>
      <c r="C35" s="1569" t="s">
        <v>416</v>
      </c>
      <c r="D35" s="1569"/>
      <c r="E35" s="1569"/>
      <c r="F35" s="1570"/>
      <c r="G35" s="14">
        <f>SUM(G36:G74)</f>
        <v>3065.9693900000007</v>
      </c>
      <c r="J35" s="10">
        <f>560.06985+219.38052+471.58+428.92737</f>
        <v>1679.9577399999998</v>
      </c>
    </row>
    <row r="36" spans="1:10" s="10" customFormat="1" ht="11.25">
      <c r="A36" s="1586"/>
      <c r="B36" s="1572"/>
      <c r="C36" s="1064" t="s">
        <v>1174</v>
      </c>
      <c r="D36" s="1065" t="s">
        <v>1148</v>
      </c>
      <c r="E36" s="1065">
        <v>1502</v>
      </c>
      <c r="F36" s="8">
        <v>231.5</v>
      </c>
      <c r="G36" s="1075">
        <f>SUM(E36:F36)</f>
        <v>1733.5</v>
      </c>
    </row>
    <row r="37" spans="1:10" s="10" customFormat="1" ht="11.25">
      <c r="A37" s="1586"/>
      <c r="B37" s="1572"/>
      <c r="C37" s="1064" t="s">
        <v>1175</v>
      </c>
      <c r="D37" s="1065" t="s">
        <v>1148</v>
      </c>
      <c r="E37" s="1065">
        <v>658</v>
      </c>
      <c r="F37" s="1077">
        <v>234.8</v>
      </c>
      <c r="G37" s="1075">
        <f t="shared" ref="G37:G74" si="1">E37*F37/1000</f>
        <v>154.4984</v>
      </c>
    </row>
    <row r="38" spans="1:10" s="10" customFormat="1" ht="11.25">
      <c r="A38" s="1586"/>
      <c r="B38" s="1572"/>
      <c r="C38" s="1064" t="s">
        <v>1176</v>
      </c>
      <c r="D38" s="1065" t="s">
        <v>690</v>
      </c>
      <c r="E38" s="1065">
        <v>28</v>
      </c>
      <c r="F38" s="1077">
        <v>7471.59</v>
      </c>
      <c r="G38" s="1075">
        <f t="shared" si="1"/>
        <v>209.20452000000003</v>
      </c>
    </row>
    <row r="39" spans="1:10" s="10" customFormat="1" ht="11.25">
      <c r="A39" s="1586"/>
      <c r="B39" s="1572"/>
      <c r="C39" s="1066" t="s">
        <v>1151</v>
      </c>
      <c r="D39" s="1065" t="s">
        <v>690</v>
      </c>
      <c r="E39" s="1065">
        <v>75</v>
      </c>
      <c r="F39" s="1077">
        <v>131.66999999999999</v>
      </c>
      <c r="G39" s="1075">
        <f t="shared" si="1"/>
        <v>9.8752499999999976</v>
      </c>
    </row>
    <row r="40" spans="1:10" s="10" customFormat="1" ht="13.5" customHeight="1">
      <c r="A40" s="1586"/>
      <c r="B40" s="1572"/>
      <c r="C40" s="1066" t="s">
        <v>1177</v>
      </c>
      <c r="D40" s="1065" t="s">
        <v>1178</v>
      </c>
      <c r="E40" s="1065">
        <v>30</v>
      </c>
      <c r="F40" s="1077">
        <v>1555</v>
      </c>
      <c r="G40" s="1075">
        <f t="shared" si="1"/>
        <v>46.65</v>
      </c>
    </row>
    <row r="41" spans="1:10" s="10" customFormat="1" ht="11.25">
      <c r="A41" s="1586"/>
      <c r="B41" s="1572"/>
      <c r="C41" s="1066" t="s">
        <v>1179</v>
      </c>
      <c r="D41" s="1065" t="s">
        <v>1180</v>
      </c>
      <c r="E41" s="1065">
        <v>6</v>
      </c>
      <c r="F41" s="1077">
        <v>15.4</v>
      </c>
      <c r="G41" s="1075">
        <f t="shared" si="1"/>
        <v>9.240000000000001E-2</v>
      </c>
    </row>
    <row r="42" spans="1:10" s="10" customFormat="1" ht="11.25">
      <c r="A42" s="12"/>
      <c r="B42" s="1572"/>
      <c r="C42" s="1066" t="s">
        <v>1181</v>
      </c>
      <c r="D42" s="1065" t="s">
        <v>690</v>
      </c>
      <c r="E42" s="1065">
        <v>75</v>
      </c>
      <c r="F42" s="1077">
        <v>693.6</v>
      </c>
      <c r="G42" s="1075">
        <f t="shared" si="1"/>
        <v>52.02</v>
      </c>
    </row>
    <row r="43" spans="1:10" s="10" customFormat="1" ht="11.25">
      <c r="A43" s="12"/>
      <c r="B43" s="1572"/>
      <c r="C43" s="1066" t="s">
        <v>1182</v>
      </c>
      <c r="D43" s="1065" t="s">
        <v>690</v>
      </c>
      <c r="E43" s="1065">
        <v>41</v>
      </c>
      <c r="F43" s="1077">
        <v>331.6</v>
      </c>
      <c r="G43" s="1075">
        <f t="shared" si="1"/>
        <v>13.595600000000001</v>
      </c>
    </row>
    <row r="44" spans="1:10" s="10" customFormat="1" ht="11.25">
      <c r="A44" s="12"/>
      <c r="B44" s="1572"/>
      <c r="C44" s="1066" t="s">
        <v>1183</v>
      </c>
      <c r="D44" s="1065" t="s">
        <v>690</v>
      </c>
      <c r="E44" s="1065">
        <v>41</v>
      </c>
      <c r="F44" s="1077">
        <v>550.79999999999995</v>
      </c>
      <c r="G44" s="1075">
        <f t="shared" si="1"/>
        <v>22.582799999999999</v>
      </c>
    </row>
    <row r="45" spans="1:10" s="10" customFormat="1" ht="11.25">
      <c r="A45" s="12"/>
      <c r="B45" s="1572"/>
      <c r="C45" s="1066" t="s">
        <v>1184</v>
      </c>
      <c r="D45" s="1065" t="s">
        <v>690</v>
      </c>
      <c r="E45" s="1065">
        <v>75</v>
      </c>
      <c r="F45" s="1077">
        <v>211.2</v>
      </c>
      <c r="G45" s="1075">
        <f t="shared" si="1"/>
        <v>15.84</v>
      </c>
    </row>
    <row r="46" spans="1:10" s="10" customFormat="1" ht="11.25">
      <c r="A46" s="12"/>
      <c r="B46" s="1572"/>
      <c r="C46" s="1066" t="s">
        <v>1185</v>
      </c>
      <c r="D46" s="1065" t="s">
        <v>1148</v>
      </c>
      <c r="E46" s="1065">
        <v>754</v>
      </c>
      <c r="F46" s="1077">
        <v>60.1</v>
      </c>
      <c r="G46" s="1075">
        <f t="shared" si="1"/>
        <v>45.315400000000004</v>
      </c>
    </row>
    <row r="47" spans="1:10" s="10" customFormat="1" ht="11.25">
      <c r="A47" s="12"/>
      <c r="B47" s="1572"/>
      <c r="C47" s="1066" t="s">
        <v>1186</v>
      </c>
      <c r="D47" s="1065" t="s">
        <v>690</v>
      </c>
      <c r="E47" s="1065">
        <v>302</v>
      </c>
      <c r="F47" s="1077">
        <v>446.1</v>
      </c>
      <c r="G47" s="1075">
        <f t="shared" si="1"/>
        <v>134.72220000000002</v>
      </c>
    </row>
    <row r="48" spans="1:10" s="10" customFormat="1" ht="11.25">
      <c r="A48" s="12"/>
      <c r="B48" s="1572"/>
      <c r="C48" s="1066" t="s">
        <v>1187</v>
      </c>
      <c r="D48" s="1065" t="s">
        <v>690</v>
      </c>
      <c r="E48" s="1065">
        <v>302</v>
      </c>
      <c r="F48" s="1077">
        <v>58.9</v>
      </c>
      <c r="G48" s="1075">
        <f t="shared" si="1"/>
        <v>17.787800000000001</v>
      </c>
    </row>
    <row r="49" spans="1:7" s="10" customFormat="1" ht="11.25">
      <c r="A49" s="12"/>
      <c r="B49" s="1572"/>
      <c r="C49" s="1066" t="s">
        <v>1188</v>
      </c>
      <c r="D49" s="1065" t="s">
        <v>690</v>
      </c>
      <c r="E49" s="1065">
        <v>377</v>
      </c>
      <c r="F49" s="1077">
        <v>4.5</v>
      </c>
      <c r="G49" s="1075">
        <f t="shared" si="1"/>
        <v>1.6964999999999999</v>
      </c>
    </row>
    <row r="50" spans="1:7" s="10" customFormat="1" ht="11.25">
      <c r="A50" s="12"/>
      <c r="B50" s="1572"/>
      <c r="C50" s="1066" t="s">
        <v>1189</v>
      </c>
      <c r="D50" s="1065" t="s">
        <v>690</v>
      </c>
      <c r="E50" s="1065">
        <v>75</v>
      </c>
      <c r="F50" s="1077">
        <v>131.25</v>
      </c>
      <c r="G50" s="1075">
        <f t="shared" si="1"/>
        <v>9.84375</v>
      </c>
    </row>
    <row r="51" spans="1:7" s="10" customFormat="1" ht="11.25">
      <c r="A51" s="12"/>
      <c r="B51" s="1572"/>
      <c r="C51" s="1066" t="s">
        <v>1190</v>
      </c>
      <c r="D51" s="1065" t="s">
        <v>690</v>
      </c>
      <c r="E51" s="1065">
        <v>75</v>
      </c>
      <c r="F51" s="1077">
        <v>131.25</v>
      </c>
      <c r="G51" s="1075">
        <f t="shared" si="1"/>
        <v>9.84375</v>
      </c>
    </row>
    <row r="52" spans="1:7" s="10" customFormat="1" ht="11.25">
      <c r="A52" s="12"/>
      <c r="B52" s="1572"/>
      <c r="C52" s="1066" t="s">
        <v>1191</v>
      </c>
      <c r="D52" s="1065" t="s">
        <v>690</v>
      </c>
      <c r="E52" s="1065">
        <v>11</v>
      </c>
      <c r="F52" s="1077">
        <v>376.25</v>
      </c>
      <c r="G52" s="1075">
        <f t="shared" si="1"/>
        <v>4.1387499999999999</v>
      </c>
    </row>
    <row r="53" spans="1:7" s="10" customFormat="1" ht="11.25">
      <c r="A53" s="12"/>
      <c r="B53" s="1572"/>
      <c r="C53" s="1066" t="s">
        <v>1192</v>
      </c>
      <c r="D53" s="1065" t="s">
        <v>690</v>
      </c>
      <c r="E53" s="1065">
        <v>3</v>
      </c>
      <c r="F53" s="1077">
        <v>17546</v>
      </c>
      <c r="G53" s="1075">
        <f t="shared" si="1"/>
        <v>52.637999999999998</v>
      </c>
    </row>
    <row r="54" spans="1:7" s="10" customFormat="1" ht="11.25">
      <c r="A54" s="12"/>
      <c r="B54" s="1572"/>
      <c r="C54" s="1066" t="s">
        <v>1193</v>
      </c>
      <c r="D54" s="1065" t="s">
        <v>690</v>
      </c>
      <c r="E54" s="1065">
        <v>3</v>
      </c>
      <c r="F54" s="1077">
        <v>16204</v>
      </c>
      <c r="G54" s="1075">
        <f t="shared" si="1"/>
        <v>48.612000000000002</v>
      </c>
    </row>
    <row r="55" spans="1:7" s="10" customFormat="1" ht="11.25">
      <c r="A55" s="12"/>
      <c r="B55" s="1572"/>
      <c r="C55" s="1066" t="s">
        <v>1194</v>
      </c>
      <c r="D55" s="1065" t="s">
        <v>690</v>
      </c>
      <c r="E55" s="1065">
        <v>754</v>
      </c>
      <c r="F55" s="1077">
        <v>18.75</v>
      </c>
      <c r="G55" s="1075">
        <f t="shared" si="1"/>
        <v>14.137499999999999</v>
      </c>
    </row>
    <row r="56" spans="1:7" s="10" customFormat="1" ht="11.25">
      <c r="A56" s="12"/>
      <c r="B56" s="1572"/>
      <c r="C56" s="1067" t="s">
        <v>1195</v>
      </c>
      <c r="D56" s="1065" t="s">
        <v>690</v>
      </c>
      <c r="E56" s="1065">
        <v>377</v>
      </c>
      <c r="F56" s="1077">
        <v>197.1</v>
      </c>
      <c r="G56" s="1075">
        <f t="shared" si="1"/>
        <v>74.306699999999992</v>
      </c>
    </row>
    <row r="57" spans="1:7" s="10" customFormat="1" ht="11.25">
      <c r="A57" s="12"/>
      <c r="B57" s="1572"/>
      <c r="C57" s="1064" t="s">
        <v>1196</v>
      </c>
      <c r="D57" s="1065" t="s">
        <v>690</v>
      </c>
      <c r="E57" s="1065">
        <v>41</v>
      </c>
      <c r="F57" s="1077">
        <v>600.4</v>
      </c>
      <c r="G57" s="1075">
        <f t="shared" si="1"/>
        <v>24.616399999999999</v>
      </c>
    </row>
    <row r="58" spans="1:7" s="10" customFormat="1" ht="11.25">
      <c r="A58" s="12"/>
      <c r="B58" s="1572"/>
      <c r="C58" s="1064" t="s">
        <v>1197</v>
      </c>
      <c r="D58" s="1065" t="s">
        <v>690</v>
      </c>
      <c r="E58" s="1065">
        <v>514</v>
      </c>
      <c r="F58" s="1077">
        <v>175</v>
      </c>
      <c r="G58" s="1075">
        <f t="shared" si="1"/>
        <v>89.95</v>
      </c>
    </row>
    <row r="59" spans="1:7" s="10" customFormat="1" ht="11.25">
      <c r="A59" s="12"/>
      <c r="B59" s="1572"/>
      <c r="C59" s="1064" t="s">
        <v>1198</v>
      </c>
      <c r="D59" s="1065" t="s">
        <v>690</v>
      </c>
      <c r="E59" s="1065">
        <v>1208</v>
      </c>
      <c r="F59" s="1077">
        <v>15.4</v>
      </c>
      <c r="G59" s="1075">
        <f t="shared" si="1"/>
        <v>18.603200000000001</v>
      </c>
    </row>
    <row r="60" spans="1:7" s="10" customFormat="1" ht="11.25">
      <c r="A60" s="12"/>
      <c r="B60" s="1572"/>
      <c r="C60" s="1064" t="s">
        <v>1199</v>
      </c>
      <c r="D60" s="1065" t="s">
        <v>690</v>
      </c>
      <c r="E60" s="1065">
        <v>18</v>
      </c>
      <c r="F60" s="1077">
        <v>334</v>
      </c>
      <c r="G60" s="1075">
        <f t="shared" si="1"/>
        <v>6.0119999999999996</v>
      </c>
    </row>
    <row r="61" spans="1:7" s="10" customFormat="1" ht="11.25">
      <c r="A61" s="12"/>
      <c r="B61" s="1572"/>
      <c r="C61" s="1064" t="s">
        <v>1200</v>
      </c>
      <c r="D61" s="1065" t="s">
        <v>690</v>
      </c>
      <c r="E61" s="1065">
        <v>1</v>
      </c>
      <c r="F61" s="1077">
        <v>9924.2000000000007</v>
      </c>
      <c r="G61" s="1075">
        <f t="shared" si="1"/>
        <v>9.9242000000000008</v>
      </c>
    </row>
    <row r="62" spans="1:7" s="10" customFormat="1" ht="11.25">
      <c r="A62" s="12"/>
      <c r="B62" s="1572"/>
      <c r="C62" s="1064" t="s">
        <v>1201</v>
      </c>
      <c r="D62" s="1065" t="s">
        <v>690</v>
      </c>
      <c r="E62" s="1065">
        <v>31</v>
      </c>
      <c r="F62" s="1077">
        <v>10.1</v>
      </c>
      <c r="G62" s="1075">
        <f t="shared" si="1"/>
        <v>0.31309999999999999</v>
      </c>
    </row>
    <row r="63" spans="1:7" s="10" customFormat="1" ht="11.25">
      <c r="A63" s="12"/>
      <c r="B63" s="1572"/>
      <c r="C63" s="1064" t="s">
        <v>1202</v>
      </c>
      <c r="D63" s="1065" t="s">
        <v>690</v>
      </c>
      <c r="E63" s="1065">
        <v>31</v>
      </c>
      <c r="F63" s="1077">
        <v>56.8</v>
      </c>
      <c r="G63" s="1075">
        <f t="shared" si="1"/>
        <v>1.7607999999999999</v>
      </c>
    </row>
    <row r="64" spans="1:7" s="10" customFormat="1" ht="11.25">
      <c r="A64" s="12"/>
      <c r="B64" s="1572"/>
      <c r="C64" s="1064" t="s">
        <v>1164</v>
      </c>
      <c r="D64" s="1065" t="s">
        <v>1148</v>
      </c>
      <c r="E64" s="1065">
        <v>1028</v>
      </c>
      <c r="F64" s="1077">
        <v>62.5</v>
      </c>
      <c r="G64" s="1075">
        <f t="shared" si="1"/>
        <v>64.25</v>
      </c>
    </row>
    <row r="65" spans="1:10" s="10" customFormat="1" ht="11.25">
      <c r="A65" s="12"/>
      <c r="B65" s="1572"/>
      <c r="C65" s="1064" t="s">
        <v>1155</v>
      </c>
      <c r="D65" s="1065" t="s">
        <v>690</v>
      </c>
      <c r="E65" s="1065">
        <v>31</v>
      </c>
      <c r="F65" s="1077">
        <v>23.75</v>
      </c>
      <c r="G65" s="1075">
        <f t="shared" si="1"/>
        <v>0.73624999999999996</v>
      </c>
    </row>
    <row r="66" spans="1:10" s="10" customFormat="1" ht="11.25">
      <c r="A66" s="12"/>
      <c r="B66" s="1572"/>
      <c r="C66" s="1064" t="s">
        <v>1156</v>
      </c>
      <c r="D66" s="1065" t="s">
        <v>690</v>
      </c>
      <c r="E66" s="1065">
        <v>31</v>
      </c>
      <c r="F66" s="1077">
        <v>50.79</v>
      </c>
      <c r="G66" s="1075">
        <f t="shared" si="1"/>
        <v>1.5744899999999999</v>
      </c>
    </row>
    <row r="67" spans="1:10" s="10" customFormat="1" ht="11.25">
      <c r="A67" s="12"/>
      <c r="B67" s="1572"/>
      <c r="C67" s="1064" t="s">
        <v>1157</v>
      </c>
      <c r="D67" s="1065" t="s">
        <v>690</v>
      </c>
      <c r="E67" s="1065">
        <v>31</v>
      </c>
      <c r="F67" s="1077">
        <v>94.6</v>
      </c>
      <c r="G67" s="1075">
        <f t="shared" si="1"/>
        <v>2.9325999999999999</v>
      </c>
    </row>
    <row r="68" spans="1:10" s="10" customFormat="1" ht="11.25">
      <c r="A68" s="12"/>
      <c r="B68" s="1572"/>
      <c r="C68" s="1064" t="s">
        <v>1158</v>
      </c>
      <c r="D68" s="1065" t="s">
        <v>690</v>
      </c>
      <c r="E68" s="1065">
        <v>31</v>
      </c>
      <c r="F68" s="1077">
        <v>46.02</v>
      </c>
      <c r="G68" s="1075">
        <f t="shared" si="1"/>
        <v>1.4266200000000002</v>
      </c>
    </row>
    <row r="69" spans="1:10" s="10" customFormat="1" ht="11.25">
      <c r="A69" s="12"/>
      <c r="B69" s="1572"/>
      <c r="C69" s="1064" t="s">
        <v>1159</v>
      </c>
      <c r="D69" s="1065" t="s">
        <v>690</v>
      </c>
      <c r="E69" s="1065">
        <v>31</v>
      </c>
      <c r="F69" s="1077">
        <v>63.19</v>
      </c>
      <c r="G69" s="1075">
        <f t="shared" si="1"/>
        <v>1.9588899999999998</v>
      </c>
    </row>
    <row r="70" spans="1:10" s="10" customFormat="1" ht="11.25">
      <c r="A70" s="12"/>
      <c r="B70" s="1572"/>
      <c r="C70" s="1064" t="s">
        <v>1203</v>
      </c>
      <c r="D70" s="1065" t="s">
        <v>690</v>
      </c>
      <c r="E70" s="1065">
        <v>200</v>
      </c>
      <c r="F70" s="1077">
        <v>175</v>
      </c>
      <c r="G70" s="1075">
        <f t="shared" si="1"/>
        <v>35</v>
      </c>
    </row>
    <row r="71" spans="1:10" s="10" customFormat="1" ht="11.25">
      <c r="A71" s="12"/>
      <c r="B71" s="1572"/>
      <c r="C71" s="1064" t="s">
        <v>1204</v>
      </c>
      <c r="D71" s="1065" t="s">
        <v>1148</v>
      </c>
      <c r="E71" s="1065">
        <v>257</v>
      </c>
      <c r="F71" s="1077">
        <v>98</v>
      </c>
      <c r="G71" s="1075">
        <f t="shared" si="1"/>
        <v>25.186</v>
      </c>
    </row>
    <row r="72" spans="1:10" s="10" customFormat="1" ht="11.25">
      <c r="A72" s="12"/>
      <c r="B72" s="1572"/>
      <c r="C72" s="1064" t="s">
        <v>1171</v>
      </c>
      <c r="D72" s="1065" t="s">
        <v>1148</v>
      </c>
      <c r="E72" s="1065">
        <v>93</v>
      </c>
      <c r="F72" s="1077">
        <v>151</v>
      </c>
      <c r="G72" s="1075">
        <f t="shared" si="1"/>
        <v>14.042999999999999</v>
      </c>
    </row>
    <row r="73" spans="1:10" s="10" customFormat="1" ht="11.25">
      <c r="A73" s="12"/>
      <c r="B73" s="1572"/>
      <c r="C73" s="1064" t="s">
        <v>1205</v>
      </c>
      <c r="D73" s="1065" t="s">
        <v>690</v>
      </c>
      <c r="E73" s="1065">
        <v>14</v>
      </c>
      <c r="F73" s="1077">
        <v>6277.38</v>
      </c>
      <c r="G73" s="1075">
        <f t="shared" si="1"/>
        <v>87.883320000000012</v>
      </c>
    </row>
    <row r="74" spans="1:10" s="10" customFormat="1" ht="11.25">
      <c r="A74" s="12"/>
      <c r="B74" s="1572"/>
      <c r="C74" s="1064" t="s">
        <v>1173</v>
      </c>
      <c r="D74" s="1065" t="s">
        <v>1168</v>
      </c>
      <c r="E74" s="1065">
        <v>754</v>
      </c>
      <c r="F74" s="1077">
        <v>11.8</v>
      </c>
      <c r="G74" s="1075">
        <f t="shared" si="1"/>
        <v>8.8972000000000016</v>
      </c>
    </row>
    <row r="75" spans="1:10" s="10" customFormat="1" ht="11.25">
      <c r="A75" s="12"/>
      <c r="B75" s="1572"/>
      <c r="C75" s="1077"/>
      <c r="D75" s="1077"/>
      <c r="E75" s="1077"/>
      <c r="F75" s="1077"/>
      <c r="G75" s="13"/>
    </row>
    <row r="76" spans="1:10" s="10" customFormat="1">
      <c r="A76" s="12"/>
      <c r="B76" s="1572"/>
      <c r="C76" s="1078"/>
      <c r="D76" s="1076"/>
      <c r="E76" s="1076"/>
      <c r="F76" s="1077"/>
      <c r="G76" s="13"/>
    </row>
    <row r="77" spans="1:10" s="10" customFormat="1" ht="12" thickBot="1">
      <c r="A77" s="12"/>
      <c r="B77" s="1573"/>
      <c r="C77" s="8"/>
      <c r="D77" s="13"/>
      <c r="E77" s="13"/>
      <c r="F77" s="1077"/>
      <c r="G77" s="1062"/>
    </row>
    <row r="78" spans="1:10" s="10" customFormat="1" ht="14.25" customHeight="1" thickBot="1">
      <c r="A78" s="12" t="s">
        <v>245</v>
      </c>
      <c r="B78" s="1569" t="s">
        <v>417</v>
      </c>
      <c r="C78" s="1569"/>
      <c r="D78" s="1569"/>
      <c r="E78" s="1569"/>
      <c r="F78" s="1570"/>
      <c r="G78" s="14"/>
    </row>
    <row r="79" spans="1:10" s="17" customFormat="1" ht="14.25" customHeight="1" thickBot="1">
      <c r="A79" s="1574" t="s">
        <v>290</v>
      </c>
      <c r="B79" s="1575"/>
      <c r="C79" s="1575"/>
      <c r="D79" s="1575"/>
      <c r="E79" s="1575"/>
      <c r="F79" s="1575"/>
      <c r="G79" s="1577"/>
      <c r="H79" s="16"/>
    </row>
    <row r="80" spans="1:10" s="10" customFormat="1" ht="12" customHeight="1" thickBot="1">
      <c r="A80" s="1586" t="s">
        <v>298</v>
      </c>
      <c r="B80" s="1571" t="s">
        <v>418</v>
      </c>
      <c r="C80" s="1569" t="s">
        <v>416</v>
      </c>
      <c r="D80" s="1569"/>
      <c r="E80" s="1569"/>
      <c r="F80" s="1570"/>
      <c r="G80" s="14">
        <f>SUM(G81:G93)</f>
        <v>298.00162000000006</v>
      </c>
      <c r="J80" s="10">
        <f>298.00162+253.8989</f>
        <v>551.90052000000003</v>
      </c>
    </row>
    <row r="81" spans="1:7" s="10" customFormat="1" ht="11.25">
      <c r="A81" s="1586"/>
      <c r="B81" s="1572"/>
      <c r="C81" s="1064" t="s">
        <v>1206</v>
      </c>
      <c r="D81" s="1065" t="s">
        <v>1148</v>
      </c>
      <c r="E81" s="1065">
        <v>75</v>
      </c>
      <c r="F81" s="8">
        <v>553.1</v>
      </c>
      <c r="G81" s="1075">
        <f t="shared" ref="G81:G97" si="2">E81*F81/1000</f>
        <v>41.482500000000002</v>
      </c>
    </row>
    <row r="82" spans="1:7" s="10" customFormat="1" ht="11.25">
      <c r="A82" s="1586"/>
      <c r="B82" s="1572"/>
      <c r="C82" s="1064" t="s">
        <v>1207</v>
      </c>
      <c r="D82" s="1065" t="s">
        <v>690</v>
      </c>
      <c r="E82" s="1065">
        <v>5</v>
      </c>
      <c r="F82" s="1077">
        <v>4242.8999999999996</v>
      </c>
      <c r="G82" s="1075">
        <f t="shared" si="2"/>
        <v>21.214500000000001</v>
      </c>
    </row>
    <row r="83" spans="1:7" s="10" customFormat="1">
      <c r="A83" s="1586"/>
      <c r="B83" s="1572"/>
      <c r="C83" s="247" t="s">
        <v>1208</v>
      </c>
      <c r="D83" s="1065" t="s">
        <v>690</v>
      </c>
      <c r="E83" s="1065">
        <v>6</v>
      </c>
      <c r="F83" s="1077">
        <v>4777.1000000000004</v>
      </c>
      <c r="G83" s="1075">
        <f t="shared" si="2"/>
        <v>28.662600000000001</v>
      </c>
    </row>
    <row r="84" spans="1:7" s="10" customFormat="1">
      <c r="A84" s="1586"/>
      <c r="B84" s="1572"/>
      <c r="C84" s="247" t="s">
        <v>1209</v>
      </c>
      <c r="D84" s="1065" t="s">
        <v>690</v>
      </c>
      <c r="E84" s="1065">
        <v>15</v>
      </c>
      <c r="F84" s="1077">
        <v>176.4</v>
      </c>
      <c r="G84" s="1075">
        <f t="shared" si="2"/>
        <v>2.6459999999999999</v>
      </c>
    </row>
    <row r="85" spans="1:7" s="10" customFormat="1" ht="13.5" customHeight="1">
      <c r="A85" s="1586"/>
      <c r="B85" s="1572"/>
      <c r="C85" s="247" t="s">
        <v>1210</v>
      </c>
      <c r="D85" s="1065" t="s">
        <v>690</v>
      </c>
      <c r="E85" s="1065">
        <v>15</v>
      </c>
      <c r="F85" s="1077">
        <v>260.39999999999998</v>
      </c>
      <c r="G85" s="1075">
        <f t="shared" si="2"/>
        <v>3.9059999999999997</v>
      </c>
    </row>
    <row r="86" spans="1:7" s="10" customFormat="1">
      <c r="A86" s="1586"/>
      <c r="B86" s="1572"/>
      <c r="C86" s="247" t="s">
        <v>1211</v>
      </c>
      <c r="D86" s="1065" t="s">
        <v>690</v>
      </c>
      <c r="E86" s="1065">
        <v>15</v>
      </c>
      <c r="F86" s="1077">
        <v>285.59999999999997</v>
      </c>
      <c r="G86" s="1075">
        <f t="shared" si="2"/>
        <v>4.2839999999999989</v>
      </c>
    </row>
    <row r="87" spans="1:7" s="10" customFormat="1">
      <c r="A87" s="12"/>
      <c r="B87" s="1572"/>
      <c r="C87" s="247" t="s">
        <v>1212</v>
      </c>
      <c r="D87" s="1065" t="s">
        <v>690</v>
      </c>
      <c r="E87" s="1077">
        <v>398</v>
      </c>
      <c r="F87" s="1077">
        <v>409.2</v>
      </c>
      <c r="G87" s="1075">
        <f t="shared" si="2"/>
        <v>162.86160000000001</v>
      </c>
    </row>
    <row r="88" spans="1:7" s="10" customFormat="1">
      <c r="A88" s="12"/>
      <c r="B88" s="1572"/>
      <c r="C88" s="247" t="s">
        <v>1213</v>
      </c>
      <c r="D88" s="1065" t="s">
        <v>690</v>
      </c>
      <c r="E88" s="1065">
        <v>8</v>
      </c>
      <c r="F88" s="1077">
        <v>471.59999999999997</v>
      </c>
      <c r="G88" s="1075">
        <f t="shared" si="2"/>
        <v>3.7727999999999997</v>
      </c>
    </row>
    <row r="89" spans="1:7" s="10" customFormat="1">
      <c r="A89" s="12"/>
      <c r="B89" s="1572"/>
      <c r="C89" s="247" t="s">
        <v>1214</v>
      </c>
      <c r="D89" s="1065" t="s">
        <v>690</v>
      </c>
      <c r="E89" s="1065">
        <v>8</v>
      </c>
      <c r="F89" s="1077">
        <v>560.4</v>
      </c>
      <c r="G89" s="1075">
        <f t="shared" si="2"/>
        <v>4.4832000000000001</v>
      </c>
    </row>
    <row r="90" spans="1:7" s="10" customFormat="1">
      <c r="A90" s="12"/>
      <c r="B90" s="1572"/>
      <c r="C90" s="247" t="s">
        <v>1272</v>
      </c>
      <c r="D90" s="1065" t="s">
        <v>690</v>
      </c>
      <c r="E90" s="1065">
        <v>11</v>
      </c>
      <c r="F90" s="1077">
        <v>1581.7199999999998</v>
      </c>
      <c r="G90" s="1075">
        <f t="shared" si="2"/>
        <v>17.398919999999997</v>
      </c>
    </row>
    <row r="91" spans="1:7" s="10" customFormat="1">
      <c r="A91" s="12"/>
      <c r="B91" s="1572"/>
      <c r="C91" s="247" t="s">
        <v>1215</v>
      </c>
      <c r="D91" s="1065" t="s">
        <v>690</v>
      </c>
      <c r="E91" s="1065">
        <v>19</v>
      </c>
      <c r="F91" s="1077">
        <v>48.5</v>
      </c>
      <c r="G91" s="1075">
        <f t="shared" si="2"/>
        <v>0.92149999999999999</v>
      </c>
    </row>
    <row r="92" spans="1:7" s="10" customFormat="1">
      <c r="A92" s="12"/>
      <c r="B92" s="1572"/>
      <c r="C92" s="247" t="s">
        <v>1216</v>
      </c>
      <c r="D92" s="1065" t="s">
        <v>1217</v>
      </c>
      <c r="E92" s="1065">
        <v>8</v>
      </c>
      <c r="F92" s="1077">
        <v>398</v>
      </c>
      <c r="G92" s="1075">
        <f t="shared" si="2"/>
        <v>3.1840000000000002</v>
      </c>
    </row>
    <row r="93" spans="1:7" s="10" customFormat="1">
      <c r="A93" s="12"/>
      <c r="B93" s="1572"/>
      <c r="C93" t="s">
        <v>1218</v>
      </c>
      <c r="D93" s="1065" t="s">
        <v>1217</v>
      </c>
      <c r="E93" s="1065">
        <v>8</v>
      </c>
      <c r="F93" s="1077">
        <v>398</v>
      </c>
      <c r="G93" s="1075">
        <f t="shared" si="2"/>
        <v>3.1840000000000002</v>
      </c>
    </row>
    <row r="94" spans="1:7" s="10" customFormat="1" ht="11.25">
      <c r="A94" s="12"/>
      <c r="B94" s="1572"/>
      <c r="C94" s="8"/>
      <c r="D94" s="13"/>
      <c r="E94" s="13"/>
      <c r="F94" s="878"/>
      <c r="G94" s="1075">
        <f t="shared" si="2"/>
        <v>0</v>
      </c>
    </row>
    <row r="95" spans="1:7" s="10" customFormat="1" ht="11.25">
      <c r="A95" s="12"/>
      <c r="B95" s="1572"/>
      <c r="C95" s="8"/>
      <c r="D95" s="13"/>
      <c r="E95" s="13"/>
      <c r="F95" s="878"/>
      <c r="G95" s="1075">
        <f t="shared" si="2"/>
        <v>0</v>
      </c>
    </row>
    <row r="96" spans="1:7" s="10" customFormat="1" ht="11.25">
      <c r="A96" s="12"/>
      <c r="B96" s="1572"/>
      <c r="C96" s="8"/>
      <c r="D96" s="13"/>
      <c r="E96" s="13"/>
      <c r="F96" s="878"/>
      <c r="G96" s="1075">
        <f t="shared" si="2"/>
        <v>0</v>
      </c>
    </row>
    <row r="97" spans="1:8" s="10" customFormat="1" ht="12" thickBot="1">
      <c r="A97" s="12"/>
      <c r="B97" s="1573"/>
      <c r="C97" s="8"/>
      <c r="D97" s="13"/>
      <c r="E97" s="13"/>
      <c r="F97" s="13"/>
      <c r="G97" s="1075">
        <f t="shared" si="2"/>
        <v>0</v>
      </c>
    </row>
    <row r="98" spans="1:8" s="10" customFormat="1" ht="14.25" customHeight="1" thickBot="1">
      <c r="A98" s="12" t="s">
        <v>299</v>
      </c>
      <c r="B98" s="1569" t="s">
        <v>417</v>
      </c>
      <c r="C98" s="1569"/>
      <c r="D98" s="1569"/>
      <c r="E98" s="1569"/>
      <c r="F98" s="1570"/>
      <c r="G98" s="14"/>
    </row>
    <row r="99" spans="1:8" s="17" customFormat="1" ht="15" customHeight="1" thickBot="1">
      <c r="A99" s="1574" t="s">
        <v>291</v>
      </c>
      <c r="B99" s="1575"/>
      <c r="C99" s="1575"/>
      <c r="D99" s="1575"/>
      <c r="E99" s="1575"/>
      <c r="F99" s="1575"/>
      <c r="G99" s="1576"/>
      <c r="H99" s="16"/>
    </row>
    <row r="100" spans="1:8" s="10" customFormat="1" ht="12" customHeight="1" thickBot="1">
      <c r="A100" s="1586" t="s">
        <v>300</v>
      </c>
      <c r="B100" s="1571" t="s">
        <v>418</v>
      </c>
      <c r="C100" s="1569" t="s">
        <v>416</v>
      </c>
      <c r="D100" s="1569"/>
      <c r="E100" s="1569"/>
      <c r="F100" s="1570"/>
      <c r="G100" s="14">
        <f>SUM(G101:G126)</f>
        <v>253.8989</v>
      </c>
      <c r="H100" s="10">
        <v>19</v>
      </c>
    </row>
    <row r="101" spans="1:8" s="10" customFormat="1" ht="11.25">
      <c r="A101" s="1586"/>
      <c r="B101" s="1572"/>
      <c r="C101" s="1064" t="s">
        <v>1219</v>
      </c>
      <c r="D101" s="1065" t="s">
        <v>1148</v>
      </c>
      <c r="E101" s="1065">
        <v>220</v>
      </c>
      <c r="F101" s="10">
        <f>[11]Лист1!$F$101</f>
        <v>492.68</v>
      </c>
      <c r="G101" s="1075">
        <f t="shared" ref="G101:G126" si="3">E101*F101/1000</f>
        <v>108.3896</v>
      </c>
    </row>
    <row r="102" spans="1:8" s="10" customFormat="1" ht="11.25">
      <c r="A102" s="1586"/>
      <c r="B102" s="1572"/>
      <c r="C102" s="1064" t="s">
        <v>1220</v>
      </c>
      <c r="D102" s="1065" t="s">
        <v>1178</v>
      </c>
      <c r="E102" s="1065">
        <v>25</v>
      </c>
      <c r="F102" s="1065">
        <v>558</v>
      </c>
      <c r="G102" s="1075">
        <f t="shared" si="3"/>
        <v>13.95</v>
      </c>
    </row>
    <row r="103" spans="1:8" s="10" customFormat="1" ht="11.25">
      <c r="A103" s="1586"/>
      <c r="B103" s="1572"/>
      <c r="C103" s="1064" t="s">
        <v>1221</v>
      </c>
      <c r="D103" s="1065" t="s">
        <v>690</v>
      </c>
      <c r="E103" s="1065">
        <v>6</v>
      </c>
      <c r="F103" s="1065">
        <v>2400</v>
      </c>
      <c r="G103" s="1075">
        <f t="shared" si="3"/>
        <v>14.4</v>
      </c>
    </row>
    <row r="104" spans="1:8" s="10" customFormat="1" ht="11.25">
      <c r="A104" s="1586"/>
      <c r="B104" s="1572"/>
      <c r="C104" s="1064" t="s">
        <v>1222</v>
      </c>
      <c r="D104" s="1065" t="s">
        <v>690</v>
      </c>
      <c r="E104" s="1065">
        <v>12</v>
      </c>
      <c r="F104" s="1065">
        <v>2400</v>
      </c>
      <c r="G104" s="1075">
        <f t="shared" si="3"/>
        <v>28.8</v>
      </c>
    </row>
    <row r="105" spans="1:8" s="10" customFormat="1" ht="13.5" customHeight="1">
      <c r="A105" s="1586"/>
      <c r="B105" s="1572"/>
      <c r="C105" s="1064" t="s">
        <v>1223</v>
      </c>
      <c r="D105" s="1065" t="s">
        <v>1148</v>
      </c>
      <c r="E105" s="1065">
        <v>302</v>
      </c>
      <c r="F105" s="8">
        <f>[11]Лист1!F105</f>
        <v>9.5</v>
      </c>
      <c r="G105" s="1075">
        <f t="shared" si="3"/>
        <v>2.8690000000000002</v>
      </c>
    </row>
    <row r="106" spans="1:8" s="10" customFormat="1">
      <c r="A106" s="1586"/>
      <c r="B106" s="1572"/>
      <c r="C106" s="247" t="s">
        <v>1224</v>
      </c>
      <c r="D106" s="1065" t="s">
        <v>690</v>
      </c>
      <c r="E106" s="1065">
        <v>68</v>
      </c>
      <c r="F106" s="1077">
        <f>[11]Лист1!F106</f>
        <v>7.7</v>
      </c>
      <c r="G106" s="1075">
        <f t="shared" si="3"/>
        <v>0.52360000000000007</v>
      </c>
    </row>
    <row r="107" spans="1:8" s="10" customFormat="1">
      <c r="A107" s="12"/>
      <c r="B107" s="1572"/>
      <c r="C107" s="247" t="s">
        <v>1225</v>
      </c>
      <c r="D107" s="1065" t="s">
        <v>690</v>
      </c>
      <c r="E107" s="1065">
        <v>23</v>
      </c>
      <c r="F107" s="1077">
        <f>[11]Лист1!F107</f>
        <v>8.8000000000000007</v>
      </c>
      <c r="G107" s="1075">
        <f t="shared" si="3"/>
        <v>0.2024</v>
      </c>
    </row>
    <row r="108" spans="1:8" s="10" customFormat="1">
      <c r="A108" s="12"/>
      <c r="B108" s="1572"/>
      <c r="C108" s="247" t="s">
        <v>1226</v>
      </c>
      <c r="D108" s="1065" t="s">
        <v>690</v>
      </c>
      <c r="E108" s="1065">
        <v>45</v>
      </c>
      <c r="F108" s="1077">
        <f>[11]Лист1!F108</f>
        <v>9</v>
      </c>
      <c r="G108" s="1075">
        <f t="shared" si="3"/>
        <v>0.40500000000000003</v>
      </c>
    </row>
    <row r="109" spans="1:8" s="10" customFormat="1">
      <c r="A109" s="12"/>
      <c r="B109" s="1572"/>
      <c r="C109" s="247" t="s">
        <v>1227</v>
      </c>
      <c r="D109" s="1065" t="s">
        <v>690</v>
      </c>
      <c r="E109" s="1065">
        <v>45</v>
      </c>
      <c r="F109" s="1077">
        <f>[11]Лист1!F109</f>
        <v>11.2</v>
      </c>
      <c r="G109" s="1075">
        <f t="shared" si="3"/>
        <v>0.50399999999999989</v>
      </c>
    </row>
    <row r="110" spans="1:8" s="10" customFormat="1">
      <c r="A110" s="12"/>
      <c r="B110" s="1572"/>
      <c r="C110" s="247" t="s">
        <v>1228</v>
      </c>
      <c r="D110" s="1065" t="s">
        <v>690</v>
      </c>
      <c r="E110" s="1065">
        <v>45</v>
      </c>
      <c r="F110" s="1077">
        <f>[11]Лист1!F110</f>
        <v>14.9</v>
      </c>
      <c r="G110" s="1075">
        <f t="shared" si="3"/>
        <v>0.67049999999999998</v>
      </c>
    </row>
    <row r="111" spans="1:8" s="10" customFormat="1">
      <c r="A111" s="12"/>
      <c r="B111" s="1572"/>
      <c r="C111" s="247" t="s">
        <v>1229</v>
      </c>
      <c r="D111" s="1065" t="s">
        <v>690</v>
      </c>
      <c r="E111" s="1065">
        <v>41</v>
      </c>
      <c r="F111" s="1077">
        <f>[11]Лист1!F111</f>
        <v>21.4</v>
      </c>
      <c r="G111" s="1075">
        <f t="shared" si="3"/>
        <v>0.87739999999999996</v>
      </c>
    </row>
    <row r="112" spans="1:8" s="10" customFormat="1">
      <c r="A112" s="12"/>
      <c r="B112" s="1572"/>
      <c r="C112" s="247" t="s">
        <v>1230</v>
      </c>
      <c r="D112" s="1065" t="s">
        <v>690</v>
      </c>
      <c r="E112" s="1065">
        <v>14</v>
      </c>
      <c r="F112" s="1077">
        <f>[11]Лист1!F112</f>
        <v>29.5</v>
      </c>
      <c r="G112" s="1075">
        <f t="shared" si="3"/>
        <v>0.41299999999999998</v>
      </c>
    </row>
    <row r="113" spans="1:7" s="10" customFormat="1">
      <c r="A113" s="12"/>
      <c r="B113" s="1572"/>
      <c r="C113" s="247" t="s">
        <v>1231</v>
      </c>
      <c r="D113" s="1065" t="s">
        <v>690</v>
      </c>
      <c r="E113" s="1065">
        <v>14</v>
      </c>
      <c r="F113" s="1077">
        <f>[11]Лист1!F113</f>
        <v>38.6</v>
      </c>
      <c r="G113" s="1075">
        <f t="shared" si="3"/>
        <v>0.54039999999999999</v>
      </c>
    </row>
    <row r="114" spans="1:7" s="10" customFormat="1">
      <c r="A114" s="12"/>
      <c r="B114" s="1572"/>
      <c r="C114" s="247" t="s">
        <v>1232</v>
      </c>
      <c r="D114" s="872" t="s">
        <v>690</v>
      </c>
      <c r="E114" s="1065">
        <v>15</v>
      </c>
      <c r="F114" s="1077">
        <f>'[12]Затраты на ремонт'!F84</f>
        <v>147</v>
      </c>
      <c r="G114" s="1075">
        <f t="shared" si="3"/>
        <v>2.2050000000000001</v>
      </c>
    </row>
    <row r="115" spans="1:7" s="10" customFormat="1">
      <c r="A115" s="12"/>
      <c r="B115" s="1572"/>
      <c r="C115" s="247" t="s">
        <v>1233</v>
      </c>
      <c r="D115" s="872" t="s">
        <v>690</v>
      </c>
      <c r="E115" s="1065">
        <v>15</v>
      </c>
      <c r="F115" s="1077">
        <f>'[12]Затраты на ремонт'!F85</f>
        <v>217</v>
      </c>
      <c r="G115" s="1075">
        <f t="shared" si="3"/>
        <v>3.2549999999999999</v>
      </c>
    </row>
    <row r="116" spans="1:7" s="10" customFormat="1">
      <c r="A116" s="12"/>
      <c r="B116" s="1572"/>
      <c r="C116" s="247" t="s">
        <v>1234</v>
      </c>
      <c r="D116" s="872" t="s">
        <v>690</v>
      </c>
      <c r="E116" s="1065">
        <v>15</v>
      </c>
      <c r="F116" s="1077">
        <f>'[12]Затраты на ремонт'!F86</f>
        <v>238</v>
      </c>
      <c r="G116" s="1075">
        <f t="shared" si="3"/>
        <v>3.57</v>
      </c>
    </row>
    <row r="117" spans="1:7" s="10" customFormat="1">
      <c r="A117" s="12"/>
      <c r="B117" s="1572"/>
      <c r="C117" s="247" t="s">
        <v>1235</v>
      </c>
      <c r="D117" s="872" t="s">
        <v>690</v>
      </c>
      <c r="E117" s="1065">
        <v>15</v>
      </c>
      <c r="F117" s="1077">
        <f>'[12]Затраты на ремонт'!F87</f>
        <v>341</v>
      </c>
      <c r="G117" s="1075">
        <f t="shared" si="3"/>
        <v>5.1150000000000002</v>
      </c>
    </row>
    <row r="118" spans="1:7" s="10" customFormat="1">
      <c r="A118" s="12"/>
      <c r="B118" s="1572"/>
      <c r="C118" s="247" t="s">
        <v>1236</v>
      </c>
      <c r="D118" s="872" t="s">
        <v>690</v>
      </c>
      <c r="E118" s="1065">
        <v>15</v>
      </c>
      <c r="F118" s="1077">
        <f>'[12]Затраты на ремонт'!F88</f>
        <v>393</v>
      </c>
      <c r="G118" s="1075">
        <f t="shared" si="3"/>
        <v>5.8949999999999996</v>
      </c>
    </row>
    <row r="119" spans="1:7" s="10" customFormat="1">
      <c r="A119" s="12"/>
      <c r="B119" s="1572"/>
      <c r="C119" s="247" t="s">
        <v>1237</v>
      </c>
      <c r="D119" s="872" t="s">
        <v>690</v>
      </c>
      <c r="E119" s="1065">
        <v>15</v>
      </c>
      <c r="F119" s="1077">
        <f>'[12]Затраты на ремонт'!F89</f>
        <v>467</v>
      </c>
      <c r="G119" s="1075">
        <f t="shared" si="3"/>
        <v>7.0049999999999999</v>
      </c>
    </row>
    <row r="120" spans="1:7" s="10" customFormat="1">
      <c r="A120" s="12"/>
      <c r="B120" s="1572"/>
      <c r="C120" s="247" t="s">
        <v>1238</v>
      </c>
      <c r="D120" s="872" t="s">
        <v>690</v>
      </c>
      <c r="E120" s="1065">
        <v>15</v>
      </c>
      <c r="F120" s="1077">
        <f>'[12]Затраты на ремонт'!F90</f>
        <v>1318.1</v>
      </c>
      <c r="G120" s="1075">
        <f t="shared" si="3"/>
        <v>19.7715</v>
      </c>
    </row>
    <row r="121" spans="1:7" s="10" customFormat="1">
      <c r="A121" s="12"/>
      <c r="B121" s="1572"/>
      <c r="C121" s="247" t="s">
        <v>1239</v>
      </c>
      <c r="D121" s="872" t="s">
        <v>690</v>
      </c>
      <c r="E121" s="1065">
        <v>15</v>
      </c>
      <c r="F121" s="1077">
        <f>'[12]Затраты на ремонт'!F91</f>
        <v>26</v>
      </c>
      <c r="G121" s="1075">
        <f t="shared" si="3"/>
        <v>0.39</v>
      </c>
    </row>
    <row r="122" spans="1:7" s="10" customFormat="1">
      <c r="A122" s="12"/>
      <c r="B122" s="1572"/>
      <c r="C122" s="247" t="s">
        <v>1240</v>
      </c>
      <c r="D122" s="872" t="s">
        <v>690</v>
      </c>
      <c r="E122" s="1065">
        <v>15</v>
      </c>
      <c r="F122" s="1077">
        <f>'[12]Затраты на ремонт'!F92</f>
        <v>390</v>
      </c>
      <c r="G122" s="1075">
        <f t="shared" si="3"/>
        <v>5.85</v>
      </c>
    </row>
    <row r="123" spans="1:7" s="10" customFormat="1">
      <c r="A123" s="12"/>
      <c r="B123" s="1572"/>
      <c r="C123" s="247" t="s">
        <v>1241</v>
      </c>
      <c r="D123" s="872" t="s">
        <v>690</v>
      </c>
      <c r="E123" s="1065">
        <v>15</v>
      </c>
      <c r="F123" s="1077">
        <f>'[12]Затраты на ремонт'!F93</f>
        <v>390</v>
      </c>
      <c r="G123" s="1075">
        <f t="shared" si="3"/>
        <v>5.85</v>
      </c>
    </row>
    <row r="124" spans="1:7" s="10" customFormat="1">
      <c r="A124" s="12"/>
      <c r="B124" s="1572"/>
      <c r="C124" s="247" t="s">
        <v>1215</v>
      </c>
      <c r="D124" s="1065" t="s">
        <v>690</v>
      </c>
      <c r="E124" s="1065">
        <v>151</v>
      </c>
      <c r="F124" s="1077">
        <f>[11]Лист1!F124</f>
        <v>48.5</v>
      </c>
      <c r="G124" s="1075">
        <f t="shared" si="3"/>
        <v>7.3235000000000001</v>
      </c>
    </row>
    <row r="125" spans="1:7" s="10" customFormat="1">
      <c r="A125" s="12"/>
      <c r="B125" s="1572"/>
      <c r="C125" s="247" t="s">
        <v>1216</v>
      </c>
      <c r="D125" s="1065" t="s">
        <v>1217</v>
      </c>
      <c r="E125" s="1065">
        <v>23</v>
      </c>
      <c r="F125" s="1077">
        <f>F92</f>
        <v>398</v>
      </c>
      <c r="G125" s="1075">
        <f t="shared" si="3"/>
        <v>9.1539999999999999</v>
      </c>
    </row>
    <row r="126" spans="1:7" s="10" customFormat="1">
      <c r="A126" s="12"/>
      <c r="B126" s="1572"/>
      <c r="C126" s="247" t="s">
        <v>1218</v>
      </c>
      <c r="D126" s="1065" t="s">
        <v>1217</v>
      </c>
      <c r="E126" s="1065">
        <v>15</v>
      </c>
      <c r="F126" s="1077">
        <f>F93</f>
        <v>398</v>
      </c>
      <c r="G126" s="1075">
        <f t="shared" si="3"/>
        <v>5.97</v>
      </c>
    </row>
    <row r="127" spans="1:7" s="10" customFormat="1" ht="13.5" thickBot="1">
      <c r="A127" s="12"/>
      <c r="B127" s="1573"/>
      <c r="C127" s="8"/>
      <c r="D127" s="13"/>
      <c r="E127" s="13"/>
      <c r="F127" s="13"/>
      <c r="G127" s="1068"/>
    </row>
    <row r="128" spans="1:7" s="10" customFormat="1" ht="14.25" customHeight="1" thickBot="1">
      <c r="A128" s="12" t="s">
        <v>301</v>
      </c>
      <c r="B128" s="1569" t="s">
        <v>417</v>
      </c>
      <c r="C128" s="1569"/>
      <c r="D128" s="1569"/>
      <c r="E128" s="1569"/>
      <c r="F128" s="1570"/>
      <c r="G128" s="14"/>
    </row>
    <row r="129" spans="1:14" s="18" customFormat="1" ht="10.5" customHeight="1" thickBot="1">
      <c r="A129" s="1578" t="s">
        <v>296</v>
      </c>
      <c r="B129" s="1578"/>
      <c r="C129" s="1578"/>
      <c r="D129" s="1578"/>
      <c r="E129" s="1578"/>
      <c r="F129" s="1578"/>
      <c r="G129" s="1578"/>
      <c r="H129" s="16"/>
    </row>
    <row r="130" spans="1:14" s="10" customFormat="1" ht="12" customHeight="1" thickBot="1">
      <c r="A130" s="1586" t="s">
        <v>302</v>
      </c>
      <c r="B130" s="1587" t="s">
        <v>418</v>
      </c>
      <c r="C130" s="1569" t="s">
        <v>416</v>
      </c>
      <c r="D130" s="1569"/>
      <c r="E130" s="1569"/>
      <c r="F130" s="1570"/>
      <c r="G130" s="14">
        <f>SUM(G131:G156)</f>
        <v>1278.5840499999999</v>
      </c>
      <c r="J130" s="10">
        <f>171.414+580.891+289.481+171.414</f>
        <v>1213.2</v>
      </c>
    </row>
    <row r="131" spans="1:14" s="10" customFormat="1" ht="11.25">
      <c r="A131" s="1586"/>
      <c r="B131" s="1587"/>
      <c r="C131" s="1064" t="s">
        <v>1242</v>
      </c>
      <c r="D131" s="1065" t="s">
        <v>1377</v>
      </c>
      <c r="E131" s="1065">
        <v>3</v>
      </c>
      <c r="F131" s="8">
        <v>127.4</v>
      </c>
      <c r="G131" s="1087">
        <f t="shared" ref="G131:G156" si="4">E131*F131/1000</f>
        <v>0.38220000000000004</v>
      </c>
    </row>
    <row r="132" spans="1:14" s="10" customFormat="1" ht="11.25">
      <c r="A132" s="1586"/>
      <c r="B132" s="1587"/>
      <c r="C132" s="1064" t="s">
        <v>1243</v>
      </c>
      <c r="D132" s="1065" t="s">
        <v>690</v>
      </c>
      <c r="E132" s="1065">
        <v>2</v>
      </c>
      <c r="F132" s="8">
        <v>298725</v>
      </c>
      <c r="G132" s="1322">
        <f>E132*F132/1000*0</f>
        <v>0</v>
      </c>
      <c r="I132" s="1588"/>
      <c r="J132" s="1588"/>
      <c r="K132" s="1588"/>
      <c r="L132" s="1588"/>
      <c r="M132" s="1588"/>
      <c r="N132" s="1588"/>
    </row>
    <row r="133" spans="1:14" s="10" customFormat="1" ht="11.25">
      <c r="A133" s="1586"/>
      <c r="B133" s="1587"/>
      <c r="C133" s="1064" t="s">
        <v>1244</v>
      </c>
      <c r="D133" s="1065" t="s">
        <v>690</v>
      </c>
      <c r="E133" s="1065">
        <v>2</v>
      </c>
      <c r="F133" s="8">
        <v>146250</v>
      </c>
      <c r="G133" s="1087">
        <f>E133*F133/1000*0</f>
        <v>0</v>
      </c>
      <c r="I133" s="10" t="s">
        <v>1091</v>
      </c>
    </row>
    <row r="134" spans="1:14" s="10" customFormat="1" ht="11.25">
      <c r="A134" s="1586"/>
      <c r="B134" s="1587"/>
      <c r="C134" s="1064" t="s">
        <v>1245</v>
      </c>
      <c r="D134" s="1065" t="s">
        <v>690</v>
      </c>
      <c r="E134" s="1065">
        <v>2</v>
      </c>
      <c r="F134" s="1086">
        <f>'[12]Затраты на ремонт'!F134*1.2</f>
        <v>18000</v>
      </c>
      <c r="G134" s="1087">
        <f t="shared" si="4"/>
        <v>36</v>
      </c>
    </row>
    <row r="135" spans="1:14" s="10" customFormat="1" ht="13.5" customHeight="1">
      <c r="A135" s="1586"/>
      <c r="B135" s="1587"/>
      <c r="C135" s="1064" t="s">
        <v>1246</v>
      </c>
      <c r="D135" s="1065" t="s">
        <v>690</v>
      </c>
      <c r="E135" s="1065">
        <v>7</v>
      </c>
      <c r="F135" s="1086">
        <f>'[12]Затраты на ремонт'!F135*1.2</f>
        <v>2388</v>
      </c>
      <c r="G135" s="1087">
        <f t="shared" si="4"/>
        <v>16.716000000000001</v>
      </c>
    </row>
    <row r="136" spans="1:14" s="10" customFormat="1" ht="11.25">
      <c r="A136" s="1586"/>
      <c r="B136" s="1587"/>
      <c r="C136" s="1064" t="s">
        <v>1247</v>
      </c>
      <c r="D136" s="1065" t="s">
        <v>690</v>
      </c>
      <c r="E136" s="1065">
        <v>249</v>
      </c>
      <c r="F136" s="1077">
        <v>60</v>
      </c>
      <c r="G136" s="1087">
        <f t="shared" si="4"/>
        <v>14.94</v>
      </c>
    </row>
    <row r="137" spans="1:14" s="10" customFormat="1" ht="11.25">
      <c r="A137" s="12"/>
      <c r="B137" s="8"/>
      <c r="C137" s="1064" t="s">
        <v>1248</v>
      </c>
      <c r="D137" s="1065" t="s">
        <v>690</v>
      </c>
      <c r="E137" s="1065">
        <v>158</v>
      </c>
      <c r="F137" s="1077">
        <v>81</v>
      </c>
      <c r="G137" s="1087">
        <f t="shared" si="4"/>
        <v>12.798</v>
      </c>
    </row>
    <row r="138" spans="1:14" s="10" customFormat="1" ht="11.25">
      <c r="A138" s="12"/>
      <c r="B138" s="8"/>
      <c r="C138" s="1064" t="s">
        <v>1249</v>
      </c>
      <c r="D138" s="1065" t="s">
        <v>690</v>
      </c>
      <c r="E138" s="1065">
        <v>158</v>
      </c>
      <c r="F138" s="1077">
        <v>146.22</v>
      </c>
      <c r="G138" s="1087">
        <f t="shared" si="4"/>
        <v>23.10276</v>
      </c>
    </row>
    <row r="139" spans="1:14" s="10" customFormat="1" ht="11.25">
      <c r="A139" s="12"/>
      <c r="B139" s="8"/>
      <c r="C139" s="1064" t="s">
        <v>1250</v>
      </c>
      <c r="D139" s="1065" t="s">
        <v>690</v>
      </c>
      <c r="E139" s="1065">
        <v>90</v>
      </c>
      <c r="F139" s="1086">
        <f>'[12]Затраты на ремонт'!F139*1.2</f>
        <v>1044</v>
      </c>
      <c r="G139" s="1087">
        <f t="shared" si="4"/>
        <v>93.96</v>
      </c>
    </row>
    <row r="140" spans="1:14" s="10" customFormat="1">
      <c r="A140" s="12"/>
      <c r="B140" s="8"/>
      <c r="C140" s="247" t="s">
        <v>1251</v>
      </c>
      <c r="D140" s="1065" t="s">
        <v>690</v>
      </c>
      <c r="E140" s="1065">
        <v>17</v>
      </c>
      <c r="F140" s="1086">
        <f>'[12]Затраты на ремонт'!F140*1.2</f>
        <v>1601.82</v>
      </c>
      <c r="G140" s="1087">
        <f t="shared" si="4"/>
        <v>27.23094</v>
      </c>
    </row>
    <row r="141" spans="1:14" s="10" customFormat="1">
      <c r="A141" s="12"/>
      <c r="B141" s="8"/>
      <c r="C141" s="247" t="s">
        <v>1252</v>
      </c>
      <c r="D141" s="1065" t="s">
        <v>690</v>
      </c>
      <c r="E141" s="1065">
        <v>17</v>
      </c>
      <c r="F141" s="1086">
        <f>'[12]Затраты на ремонт'!F141*1.2</f>
        <v>1688.028</v>
      </c>
      <c r="G141" s="1087">
        <f t="shared" si="4"/>
        <v>28.696475999999997</v>
      </c>
    </row>
    <row r="142" spans="1:14" s="10" customFormat="1">
      <c r="A142" s="12"/>
      <c r="B142" s="8"/>
      <c r="C142" s="247" t="s">
        <v>1253</v>
      </c>
      <c r="D142" s="1065" t="s">
        <v>690</v>
      </c>
      <c r="E142" s="1065">
        <v>14</v>
      </c>
      <c r="F142" s="1086">
        <f>'[12]Затраты на ремонт'!F142*1.2</f>
        <v>1424.88</v>
      </c>
      <c r="G142" s="1087">
        <f t="shared" si="4"/>
        <v>19.948319999999999</v>
      </c>
    </row>
    <row r="143" spans="1:14" s="10" customFormat="1">
      <c r="A143" s="12"/>
      <c r="B143" s="8"/>
      <c r="C143" s="247" t="s">
        <v>1254</v>
      </c>
      <c r="D143" s="1065" t="s">
        <v>690</v>
      </c>
      <c r="E143" s="1065">
        <v>6</v>
      </c>
      <c r="F143" s="1086">
        <f>'[12]Затраты на ремонт'!F143*1.2</f>
        <v>3351.2759999999998</v>
      </c>
      <c r="G143" s="1087">
        <f t="shared" si="4"/>
        <v>20.107655999999999</v>
      </c>
    </row>
    <row r="144" spans="1:14" s="10" customFormat="1">
      <c r="A144" s="12"/>
      <c r="B144" s="8"/>
      <c r="C144" s="247" t="s">
        <v>1255</v>
      </c>
      <c r="D144" s="1065" t="s">
        <v>690</v>
      </c>
      <c r="E144" s="1065">
        <v>5</v>
      </c>
      <c r="F144" s="1086">
        <f>'[12]Затраты на ремонт'!F144*1.2</f>
        <v>9309.5159999999996</v>
      </c>
      <c r="G144" s="1087">
        <f t="shared" si="4"/>
        <v>46.547580000000004</v>
      </c>
    </row>
    <row r="145" spans="1:8" s="10" customFormat="1">
      <c r="A145" s="12"/>
      <c r="B145" s="8"/>
      <c r="C145" s="247" t="s">
        <v>1256</v>
      </c>
      <c r="D145" s="1065" t="s">
        <v>690</v>
      </c>
      <c r="E145" s="1065">
        <v>18</v>
      </c>
      <c r="F145" s="1086">
        <f>'[12]Затраты на ремонт'!F145*1.2</f>
        <v>9917.1360000000004</v>
      </c>
      <c r="G145" s="1087">
        <f t="shared" si="4"/>
        <v>178.50844800000002</v>
      </c>
    </row>
    <row r="146" spans="1:8" s="10" customFormat="1" ht="11.25">
      <c r="A146" s="12"/>
      <c r="B146" s="8"/>
      <c r="C146" s="1064" t="s">
        <v>1257</v>
      </c>
      <c r="D146" s="1065" t="s">
        <v>690</v>
      </c>
      <c r="E146" s="1065">
        <v>36</v>
      </c>
      <c r="F146" s="1077">
        <v>125</v>
      </c>
      <c r="G146" s="1087">
        <f t="shared" si="4"/>
        <v>4.5</v>
      </c>
    </row>
    <row r="147" spans="1:8" s="10" customFormat="1" ht="11.25">
      <c r="A147" s="12"/>
      <c r="B147" s="8"/>
      <c r="C147" s="1064" t="s">
        <v>1258</v>
      </c>
      <c r="D147" s="1065" t="s">
        <v>690</v>
      </c>
      <c r="E147" s="1065">
        <v>51</v>
      </c>
      <c r="F147" s="1077">
        <v>156.25</v>
      </c>
      <c r="G147" s="1087">
        <f t="shared" si="4"/>
        <v>7.96875</v>
      </c>
    </row>
    <row r="148" spans="1:8" s="10" customFormat="1" ht="11.25">
      <c r="A148" s="12"/>
      <c r="B148" s="8"/>
      <c r="C148" s="1064" t="s">
        <v>1259</v>
      </c>
      <c r="D148" s="1065" t="s">
        <v>690</v>
      </c>
      <c r="E148" s="1065">
        <v>46</v>
      </c>
      <c r="F148" s="1077">
        <v>1127</v>
      </c>
      <c r="G148" s="1087">
        <f t="shared" si="4"/>
        <v>51.841999999999999</v>
      </c>
    </row>
    <row r="149" spans="1:8" s="10" customFormat="1" ht="11.25">
      <c r="A149" s="12"/>
      <c r="B149" s="8"/>
      <c r="C149" s="1064" t="s">
        <v>1260</v>
      </c>
      <c r="D149" s="1065" t="s">
        <v>690</v>
      </c>
      <c r="E149" s="1065">
        <v>19</v>
      </c>
      <c r="F149" s="1077">
        <v>1164.48</v>
      </c>
      <c r="G149" s="1087">
        <f t="shared" si="4"/>
        <v>22.125119999999999</v>
      </c>
    </row>
    <row r="150" spans="1:8" s="10" customFormat="1" ht="11.25">
      <c r="A150" s="12"/>
      <c r="B150" s="8"/>
      <c r="C150" s="1064" t="s">
        <v>1261</v>
      </c>
      <c r="D150" s="1065" t="s">
        <v>690</v>
      </c>
      <c r="E150" s="1065">
        <v>124</v>
      </c>
      <c r="F150" s="1077">
        <v>312.5</v>
      </c>
      <c r="G150" s="1087">
        <f t="shared" si="4"/>
        <v>38.75</v>
      </c>
    </row>
    <row r="151" spans="1:8" s="10" customFormat="1" ht="11.25">
      <c r="A151" s="12"/>
      <c r="B151" s="8"/>
      <c r="C151" s="1064" t="s">
        <v>1262</v>
      </c>
      <c r="D151" s="1065" t="s">
        <v>690</v>
      </c>
      <c r="E151" s="1065">
        <v>15</v>
      </c>
      <c r="F151" s="1077">
        <v>18062.5</v>
      </c>
      <c r="G151" s="1087">
        <f t="shared" si="4"/>
        <v>270.9375</v>
      </c>
    </row>
    <row r="152" spans="1:8" s="10" customFormat="1" ht="11.25">
      <c r="A152" s="12"/>
      <c r="B152" s="8"/>
      <c r="C152" s="1064" t="s">
        <v>1263</v>
      </c>
      <c r="D152" s="1065" t="s">
        <v>690</v>
      </c>
      <c r="E152" s="1065">
        <v>1</v>
      </c>
      <c r="F152" s="1077">
        <v>70066.3</v>
      </c>
      <c r="G152" s="1087">
        <f t="shared" si="4"/>
        <v>70.066299999999998</v>
      </c>
    </row>
    <row r="153" spans="1:8" s="10" customFormat="1" ht="11.25">
      <c r="A153" s="12"/>
      <c r="B153" s="8"/>
      <c r="C153" s="1064" t="s">
        <v>1264</v>
      </c>
      <c r="D153" s="1065" t="s">
        <v>690</v>
      </c>
      <c r="E153" s="1065">
        <v>5</v>
      </c>
      <c r="F153" s="1077">
        <v>55588.800000000003</v>
      </c>
      <c r="G153" s="1087">
        <f t="shared" si="4"/>
        <v>277.94400000000002</v>
      </c>
    </row>
    <row r="154" spans="1:8" s="10" customFormat="1">
      <c r="A154" s="12"/>
      <c r="B154" s="8"/>
      <c r="C154" s="247" t="s">
        <v>1215</v>
      </c>
      <c r="D154" s="1065" t="s">
        <v>690</v>
      </c>
      <c r="E154" s="1065">
        <v>8</v>
      </c>
      <c r="F154" s="1077">
        <v>48.5</v>
      </c>
      <c r="G154" s="1087">
        <f t="shared" si="4"/>
        <v>0.38800000000000001</v>
      </c>
    </row>
    <row r="155" spans="1:8" s="10" customFormat="1">
      <c r="A155" s="12"/>
      <c r="B155" s="8"/>
      <c r="C155" s="247" t="s">
        <v>1216</v>
      </c>
      <c r="D155" s="1065" t="s">
        <v>1217</v>
      </c>
      <c r="E155" s="1065">
        <v>23</v>
      </c>
      <c r="F155" s="1077">
        <f>F125</f>
        <v>398</v>
      </c>
      <c r="G155" s="1087">
        <f t="shared" si="4"/>
        <v>9.1539999999999999</v>
      </c>
    </row>
    <row r="156" spans="1:8" s="10" customFormat="1" ht="18.75" customHeight="1">
      <c r="A156" s="12"/>
      <c r="B156" s="8"/>
      <c r="C156" s="247" t="s">
        <v>1218</v>
      </c>
      <c r="D156" s="1065" t="s">
        <v>1217</v>
      </c>
      <c r="E156" s="1065">
        <v>15</v>
      </c>
      <c r="F156" s="1077">
        <f>F126</f>
        <v>398</v>
      </c>
      <c r="G156" s="1087">
        <f t="shared" si="4"/>
        <v>5.97</v>
      </c>
    </row>
    <row r="157" spans="1:8" s="10" customFormat="1" ht="13.5" thickBot="1">
      <c r="A157" s="12"/>
      <c r="B157" s="8"/>
      <c r="C157" s="8"/>
      <c r="D157" s="13"/>
      <c r="E157" s="13"/>
      <c r="F157" s="13"/>
      <c r="G157" s="1068"/>
    </row>
    <row r="158" spans="1:8" s="10" customFormat="1" ht="14.25" customHeight="1" thickBot="1">
      <c r="A158" s="12" t="s">
        <v>303</v>
      </c>
      <c r="B158" s="1569" t="s">
        <v>417</v>
      </c>
      <c r="C158" s="1569"/>
      <c r="D158" s="1569"/>
      <c r="E158" s="1569"/>
      <c r="F158" s="1570"/>
      <c r="G158" s="14"/>
    </row>
    <row r="159" spans="1:8" s="18" customFormat="1" ht="10.5" customHeight="1" thickBot="1">
      <c r="A159" s="1578" t="s">
        <v>297</v>
      </c>
      <c r="B159" s="1578"/>
      <c r="C159" s="1578"/>
      <c r="D159" s="1578"/>
      <c r="E159" s="1578"/>
      <c r="F159" s="1578"/>
      <c r="G159" s="1578"/>
      <c r="H159" s="16"/>
    </row>
    <row r="160" spans="1:8" s="10" customFormat="1" ht="12" customHeight="1" thickBot="1">
      <c r="A160" s="1586" t="s">
        <v>304</v>
      </c>
      <c r="B160" s="1587" t="s">
        <v>418</v>
      </c>
      <c r="C160" s="1569" t="s">
        <v>416</v>
      </c>
      <c r="D160" s="1569"/>
      <c r="E160" s="1569"/>
      <c r="F160" s="1570"/>
      <c r="G160" s="14">
        <f>SUM(G161:G165)</f>
        <v>82.710800000000006</v>
      </c>
    </row>
    <row r="161" spans="1:10" s="10" customFormat="1" ht="11.25">
      <c r="A161" s="1586"/>
      <c r="B161" s="1587"/>
      <c r="C161" s="1063" t="s">
        <v>1265</v>
      </c>
      <c r="D161" s="8" t="s">
        <v>1148</v>
      </c>
      <c r="E161" s="1065">
        <v>77</v>
      </c>
      <c r="F161" s="8">
        <f>'[12]Затраты на ремонт'!F161</f>
        <v>813.6</v>
      </c>
      <c r="G161" s="1075">
        <f t="shared" ref="G161:G166" si="5">E161*F161/1000</f>
        <v>62.647200000000005</v>
      </c>
    </row>
    <row r="162" spans="1:10" s="10" customFormat="1" ht="11.25">
      <c r="A162" s="1586"/>
      <c r="B162" s="1587"/>
      <c r="C162" s="1063" t="s">
        <v>1266</v>
      </c>
      <c r="D162" s="8" t="s">
        <v>1267</v>
      </c>
      <c r="E162" s="1065">
        <v>8</v>
      </c>
      <c r="F162" s="1077">
        <v>286</v>
      </c>
      <c r="G162" s="1075">
        <f t="shared" si="5"/>
        <v>2.2879999999999998</v>
      </c>
    </row>
    <row r="163" spans="1:10" s="10" customFormat="1" ht="11.25">
      <c r="A163" s="1586"/>
      <c r="B163" s="1587"/>
      <c r="C163" s="1063" t="s">
        <v>1268</v>
      </c>
      <c r="D163" s="8" t="s">
        <v>690</v>
      </c>
      <c r="E163" s="1065">
        <v>1509</v>
      </c>
      <c r="F163" s="1077">
        <f>'[12]Затраты на ремонт'!F163</f>
        <v>8.4</v>
      </c>
      <c r="G163" s="1075">
        <f t="shared" si="5"/>
        <v>12.675600000000001</v>
      </c>
    </row>
    <row r="164" spans="1:10" s="10" customFormat="1" ht="11.25">
      <c r="A164" s="1586"/>
      <c r="B164" s="1587"/>
      <c r="C164" s="1063" t="s">
        <v>1269</v>
      </c>
      <c r="D164" s="8" t="s">
        <v>1270</v>
      </c>
      <c r="E164" s="1065">
        <v>15</v>
      </c>
      <c r="F164" s="1077">
        <f>'[12]Затраты на ремонт'!F164</f>
        <v>220.00000000000003</v>
      </c>
      <c r="G164" s="1075">
        <f t="shared" si="5"/>
        <v>3.3000000000000003</v>
      </c>
    </row>
    <row r="165" spans="1:10" s="10" customFormat="1" ht="13.5" customHeight="1">
      <c r="A165" s="1586"/>
      <c r="B165" s="1587"/>
      <c r="C165" s="1063" t="s">
        <v>1271</v>
      </c>
      <c r="D165" s="8" t="s">
        <v>1270</v>
      </c>
      <c r="E165" s="1065">
        <v>15</v>
      </c>
      <c r="F165" s="1077">
        <f>'[12]Затраты на ремонт'!F165</f>
        <v>120</v>
      </c>
      <c r="G165" s="1075">
        <f t="shared" si="5"/>
        <v>1.8</v>
      </c>
    </row>
    <row r="166" spans="1:10" s="10" customFormat="1" ht="12" thickBot="1">
      <c r="A166" s="1586"/>
      <c r="B166" s="1587"/>
      <c r="C166" s="8"/>
      <c r="D166" s="13"/>
      <c r="E166" s="13"/>
      <c r="F166" s="13"/>
      <c r="G166" s="1075">
        <f t="shared" si="5"/>
        <v>0</v>
      </c>
    </row>
    <row r="167" spans="1:10" s="10" customFormat="1" ht="14.25" customHeight="1" thickBot="1">
      <c r="A167" s="12" t="s">
        <v>305</v>
      </c>
      <c r="B167" s="1569" t="s">
        <v>417</v>
      </c>
      <c r="C167" s="1569"/>
      <c r="D167" s="1569"/>
      <c r="E167" s="1569"/>
      <c r="F167" s="1570"/>
      <c r="G167" s="14"/>
    </row>
    <row r="168" spans="1:10" s="10" customFormat="1" ht="14.25" customHeight="1" thickBot="1">
      <c r="A168" s="105"/>
      <c r="B168" s="106"/>
      <c r="C168" s="106"/>
      <c r="D168" s="106"/>
      <c r="E168" s="106"/>
      <c r="F168" s="106"/>
      <c r="G168" s="107"/>
    </row>
    <row r="169" spans="1:10" s="10" customFormat="1" ht="12" customHeight="1" thickBot="1">
      <c r="A169" s="1571"/>
      <c r="B169" s="1590" t="s">
        <v>260</v>
      </c>
      <c r="C169" s="1593" t="s">
        <v>262</v>
      </c>
      <c r="D169" s="1594"/>
      <c r="E169" s="1594"/>
      <c r="F169" s="1595"/>
      <c r="G169" s="14">
        <f>G160+G130+G100+G80+G35+G6</f>
        <v>6416.5115900000001</v>
      </c>
      <c r="J169" s="10">
        <f>J6+J35+J80+J130</f>
        <v>4873.4579899999999</v>
      </c>
    </row>
    <row r="170" spans="1:10" s="10" customFormat="1" ht="12" thickBot="1">
      <c r="A170" s="1572"/>
      <c r="B170" s="1591"/>
      <c r="C170" s="1583" t="s">
        <v>256</v>
      </c>
      <c r="D170" s="1584"/>
      <c r="E170" s="1584"/>
      <c r="F170" s="1584"/>
      <c r="G170" s="133"/>
    </row>
    <row r="171" spans="1:10" s="10" customFormat="1" ht="12" thickBot="1">
      <c r="A171" s="1572"/>
      <c r="B171" s="1591"/>
      <c r="C171" s="1585" t="s">
        <v>419</v>
      </c>
      <c r="D171" s="1585"/>
      <c r="E171" s="1585"/>
      <c r="F171" s="1583"/>
      <c r="G171" s="14"/>
    </row>
    <row r="172" spans="1:10" ht="12" customHeight="1" thickBot="1">
      <c r="A172" s="1573"/>
      <c r="B172" s="1592"/>
      <c r="C172" s="1585" t="s">
        <v>420</v>
      </c>
      <c r="D172" s="1585"/>
      <c r="E172" s="1585"/>
      <c r="F172" s="1583"/>
      <c r="G172" s="19"/>
    </row>
    <row r="173" spans="1:10" ht="12" customHeight="1">
      <c r="A173" s="9"/>
      <c r="B173" s="108"/>
      <c r="C173" s="7"/>
      <c r="D173" s="7"/>
      <c r="E173" s="7"/>
      <c r="F173" s="7"/>
      <c r="G173" s="109"/>
    </row>
    <row r="174" spans="1:10" ht="15" customHeight="1">
      <c r="A174" s="1579" t="s">
        <v>306</v>
      </c>
      <c r="B174" s="1579"/>
      <c r="C174" s="1579"/>
      <c r="D174" s="1579"/>
      <c r="E174" s="1579"/>
      <c r="F174" s="1579"/>
      <c r="G174" s="1579"/>
    </row>
  </sheetData>
  <mergeCells count="38">
    <mergeCell ref="I132:N132"/>
    <mergeCell ref="A5:G5"/>
    <mergeCell ref="B80:B97"/>
    <mergeCell ref="A169:A172"/>
    <mergeCell ref="B169:B172"/>
    <mergeCell ref="C169:F169"/>
    <mergeCell ref="B33:F33"/>
    <mergeCell ref="A159:G159"/>
    <mergeCell ref="A160:A166"/>
    <mergeCell ref="B160:B166"/>
    <mergeCell ref="C160:F160"/>
    <mergeCell ref="B167:F167"/>
    <mergeCell ref="A130:A136"/>
    <mergeCell ref="C6:F6"/>
    <mergeCell ref="A6:A32"/>
    <mergeCell ref="B6:B32"/>
    <mergeCell ref="A174:G174"/>
    <mergeCell ref="A34:G34"/>
    <mergeCell ref="C170:F170"/>
    <mergeCell ref="C171:F171"/>
    <mergeCell ref="B78:F78"/>
    <mergeCell ref="A80:A86"/>
    <mergeCell ref="C80:F80"/>
    <mergeCell ref="B130:B136"/>
    <mergeCell ref="C172:F172"/>
    <mergeCell ref="B100:B127"/>
    <mergeCell ref="B158:F158"/>
    <mergeCell ref="A35:A41"/>
    <mergeCell ref="C35:F35"/>
    <mergeCell ref="A100:A106"/>
    <mergeCell ref="B128:F128"/>
    <mergeCell ref="B98:F98"/>
    <mergeCell ref="C130:F130"/>
    <mergeCell ref="B35:B77"/>
    <mergeCell ref="C100:F100"/>
    <mergeCell ref="A99:G99"/>
    <mergeCell ref="A79:G79"/>
    <mergeCell ref="A129:G129"/>
  </mergeCells>
  <phoneticPr fontId="4" type="noConversion"/>
  <pageMargins left="0.59055118110236227" right="0.39370078740157483" top="0.78740157480314965" bottom="0.78740157480314965" header="0.51181102362204722" footer="0.51181102362204722"/>
  <pageSetup paperSize="9" scale="6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>
    <tabColor indexed="22"/>
    <pageSetUpPr fitToPage="1"/>
  </sheetPr>
  <dimension ref="A2:V110"/>
  <sheetViews>
    <sheetView topLeftCell="A4" workbookViewId="0">
      <selection activeCell="G25" sqref="G25"/>
    </sheetView>
  </sheetViews>
  <sheetFormatPr defaultRowHeight="12.75"/>
  <cols>
    <col min="1" max="1" width="7.5703125" style="20" customWidth="1"/>
    <col min="2" max="2" width="43.140625" style="1" customWidth="1"/>
    <col min="3" max="3" width="9.140625" style="1"/>
    <col min="4" max="7" width="8.28515625" style="1" customWidth="1"/>
    <col min="8" max="14" width="8.140625" style="1" customWidth="1"/>
    <col min="15" max="18" width="6.5703125" style="1" customWidth="1"/>
    <col min="19" max="16384" width="9.140625" style="1"/>
  </cols>
  <sheetData>
    <row r="2" spans="1:22">
      <c r="A2" s="191"/>
      <c r="B2" s="192" t="s">
        <v>835</v>
      </c>
      <c r="C2" s="193"/>
      <c r="D2" s="192"/>
      <c r="E2" s="192"/>
      <c r="F2" s="192"/>
    </row>
    <row r="3" spans="1:22">
      <c r="A3" s="22"/>
      <c r="B3" s="23"/>
      <c r="C3" s="23"/>
      <c r="D3" s="23"/>
      <c r="E3" s="23"/>
      <c r="F3" s="23"/>
      <c r="G3" s="21" t="s">
        <v>421</v>
      </c>
    </row>
    <row r="4" spans="1:22" ht="25.5">
      <c r="A4" s="525" t="s">
        <v>265</v>
      </c>
      <c r="B4" s="29" t="s">
        <v>266</v>
      </c>
      <c r="C4" s="29" t="s">
        <v>267</v>
      </c>
      <c r="D4" s="526" t="s">
        <v>910</v>
      </c>
      <c r="E4" s="526" t="s">
        <v>912</v>
      </c>
      <c r="F4" s="526" t="s">
        <v>935</v>
      </c>
      <c r="G4" s="526" t="s">
        <v>938</v>
      </c>
    </row>
    <row r="5" spans="1:22" s="25" customFormat="1" ht="15.75">
      <c r="A5" s="1596" t="s">
        <v>679</v>
      </c>
      <c r="B5" s="1596"/>
      <c r="C5" s="1596"/>
      <c r="D5" s="1596"/>
      <c r="E5" s="1596"/>
      <c r="F5" s="1596"/>
      <c r="G5" s="781"/>
    </row>
    <row r="6" spans="1:22">
      <c r="A6" s="522" t="s">
        <v>247</v>
      </c>
      <c r="B6" s="4" t="s">
        <v>678</v>
      </c>
      <c r="C6" s="24" t="s">
        <v>268</v>
      </c>
      <c r="D6" s="343">
        <v>31.658000000000001</v>
      </c>
      <c r="E6" s="1139">
        <v>49.588304751808352</v>
      </c>
      <c r="F6" s="794">
        <v>54.79</v>
      </c>
      <c r="G6" s="794">
        <f>'Числ. и разряд'!E52</f>
        <v>44.955855074687506</v>
      </c>
    </row>
    <row r="7" spans="1:22">
      <c r="A7" s="522" t="s">
        <v>243</v>
      </c>
      <c r="B7" s="4" t="s">
        <v>270</v>
      </c>
      <c r="C7" s="24" t="s">
        <v>271</v>
      </c>
      <c r="D7" s="671">
        <v>7500</v>
      </c>
      <c r="E7" s="671">
        <v>7500</v>
      </c>
      <c r="F7" s="671">
        <f>A37</f>
        <v>11288.000324999999</v>
      </c>
      <c r="G7" s="671">
        <v>8772.6450000000004</v>
      </c>
      <c r="V7" s="1138"/>
    </row>
    <row r="8" spans="1:22">
      <c r="A8" s="522" t="s">
        <v>248</v>
      </c>
      <c r="B8" s="4" t="s">
        <v>273</v>
      </c>
      <c r="C8" s="24"/>
      <c r="D8" s="673">
        <v>1.2925333333333333</v>
      </c>
      <c r="E8" s="673">
        <v>1.3183840000000002</v>
      </c>
      <c r="F8" s="673">
        <v>1</v>
      </c>
      <c r="G8" s="673"/>
    </row>
    <row r="9" spans="1:22" ht="26.25">
      <c r="A9" s="522" t="s">
        <v>250</v>
      </c>
      <c r="B9" s="4" t="s">
        <v>274</v>
      </c>
      <c r="C9" s="24" t="s">
        <v>271</v>
      </c>
      <c r="D9" s="672">
        <f t="shared" ref="D9:F9" si="0">D7*D8</f>
        <v>9694</v>
      </c>
      <c r="E9" s="672">
        <f t="shared" si="0"/>
        <v>9887.880000000001</v>
      </c>
      <c r="F9" s="672">
        <f t="shared" si="0"/>
        <v>11288.000324999999</v>
      </c>
      <c r="G9" s="672">
        <v>8772.6450000000004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2">
      <c r="A10" s="522" t="s">
        <v>251</v>
      </c>
      <c r="B10" s="26" t="s">
        <v>275</v>
      </c>
      <c r="C10" s="24"/>
      <c r="D10" s="1137">
        <v>6.0670000000000002</v>
      </c>
      <c r="E10" s="1137">
        <v>6.0874245497657924</v>
      </c>
      <c r="F10" s="1137">
        <v>6.0869999999999997</v>
      </c>
      <c r="G10" s="1137">
        <f>'Числ. и разряд'!G52</f>
        <v>4.7950745000983259</v>
      </c>
    </row>
    <row r="11" spans="1:22" ht="25.5">
      <c r="A11" s="522" t="s">
        <v>252</v>
      </c>
      <c r="B11" s="4" t="s">
        <v>276</v>
      </c>
      <c r="C11" s="24" t="s">
        <v>271</v>
      </c>
      <c r="D11" s="1137">
        <v>1.419</v>
      </c>
      <c r="E11" s="1137">
        <f>D11</f>
        <v>1.419</v>
      </c>
      <c r="F11" s="1137">
        <v>1.419</v>
      </c>
      <c r="G11" s="1137">
        <v>1.5910641550186819</v>
      </c>
    </row>
    <row r="12" spans="1:22">
      <c r="A12" s="522" t="s">
        <v>253</v>
      </c>
      <c r="B12" s="4" t="s">
        <v>680</v>
      </c>
      <c r="C12" s="24" t="s">
        <v>277</v>
      </c>
      <c r="D12" s="672">
        <f>D9*D11</f>
        <v>13755.786</v>
      </c>
      <c r="E12" s="672">
        <f>E9*E11</f>
        <v>14030.901720000002</v>
      </c>
      <c r="F12" s="672">
        <v>16019</v>
      </c>
      <c r="G12" s="672">
        <f>G9*G11</f>
        <v>13957.841004203865</v>
      </c>
    </row>
    <row r="13" spans="1:22" ht="25.5">
      <c r="A13" s="522" t="s">
        <v>254</v>
      </c>
      <c r="B13" s="4" t="s">
        <v>278</v>
      </c>
      <c r="C13" s="24"/>
      <c r="D13" s="26"/>
      <c r="E13" s="26"/>
      <c r="F13" s="26"/>
      <c r="G13" s="26"/>
    </row>
    <row r="14" spans="1:22">
      <c r="A14" s="522" t="s">
        <v>307</v>
      </c>
      <c r="B14" s="4" t="s">
        <v>279</v>
      </c>
      <c r="C14" s="24" t="s">
        <v>280</v>
      </c>
      <c r="D14" s="344">
        <v>7.0000000000000007E-2</v>
      </c>
      <c r="E14" s="523">
        <v>7.0000000000000007E-2</v>
      </c>
      <c r="F14" s="523">
        <v>7.0000000000000007E-2</v>
      </c>
      <c r="G14" s="523">
        <v>0.125</v>
      </c>
    </row>
    <row r="15" spans="1:22">
      <c r="A15" s="522" t="s">
        <v>308</v>
      </c>
      <c r="B15" s="4" t="s">
        <v>281</v>
      </c>
      <c r="C15" s="24" t="s">
        <v>271</v>
      </c>
      <c r="D15" s="672">
        <f>D12*D14</f>
        <v>962.90502000000015</v>
      </c>
      <c r="E15" s="672">
        <f>E12*E14</f>
        <v>982.16312040000025</v>
      </c>
      <c r="F15" s="672">
        <f>F12*F14</f>
        <v>1121.3300000000002</v>
      </c>
      <c r="G15" s="672">
        <f>G12*G14</f>
        <v>1744.7301255254831</v>
      </c>
    </row>
    <row r="16" spans="1:22">
      <c r="A16" s="522" t="s">
        <v>255</v>
      </c>
      <c r="B16" s="4" t="s">
        <v>282</v>
      </c>
      <c r="C16" s="24"/>
      <c r="D16" s="26"/>
      <c r="E16" s="26"/>
      <c r="F16" s="26"/>
      <c r="G16" s="26"/>
    </row>
    <row r="17" spans="1:18">
      <c r="A17" s="522" t="s">
        <v>309</v>
      </c>
      <c r="B17" s="4" t="s">
        <v>279</v>
      </c>
      <c r="C17" s="24" t="s">
        <v>280</v>
      </c>
      <c r="D17" s="344">
        <v>0.5</v>
      </c>
      <c r="E17" s="344">
        <v>0.5</v>
      </c>
      <c r="F17" s="344">
        <f>E17</f>
        <v>0.5</v>
      </c>
      <c r="G17" s="344">
        <v>0.75</v>
      </c>
    </row>
    <row r="18" spans="1:18">
      <c r="A18" s="522" t="s">
        <v>310</v>
      </c>
      <c r="B18" s="4" t="s">
        <v>281</v>
      </c>
      <c r="C18" s="24" t="s">
        <v>271</v>
      </c>
      <c r="D18" s="672">
        <f>(D12+D15)*D17</f>
        <v>7359.3455100000001</v>
      </c>
      <c r="E18" s="672">
        <f>(E12+E15)*E17</f>
        <v>7506.5324202000011</v>
      </c>
      <c r="F18" s="672">
        <f>(F12+F15)*F17</f>
        <v>8570.1650000000009</v>
      </c>
      <c r="G18" s="672">
        <f>(G12+G15)*G17</f>
        <v>11776.928347297011</v>
      </c>
    </row>
    <row r="19" spans="1:18">
      <c r="A19" s="522" t="s">
        <v>311</v>
      </c>
      <c r="B19" s="4" t="s">
        <v>283</v>
      </c>
      <c r="C19" s="24"/>
      <c r="D19" s="26"/>
      <c r="E19" s="26"/>
      <c r="F19" s="26"/>
      <c r="G19" s="26"/>
    </row>
    <row r="20" spans="1:18">
      <c r="A20" s="522" t="s">
        <v>312</v>
      </c>
      <c r="B20" s="4" t="s">
        <v>279</v>
      </c>
      <c r="C20" s="24" t="s">
        <v>280</v>
      </c>
      <c r="D20" s="344">
        <v>0.33</v>
      </c>
      <c r="E20" s="344">
        <v>0.33</v>
      </c>
      <c r="F20" s="344">
        <v>0.33</v>
      </c>
      <c r="G20" s="344">
        <v>0.15</v>
      </c>
    </row>
    <row r="21" spans="1:18">
      <c r="A21" s="522" t="s">
        <v>313</v>
      </c>
      <c r="B21" s="4" t="s">
        <v>281</v>
      </c>
      <c r="C21" s="24" t="s">
        <v>271</v>
      </c>
      <c r="D21" s="672">
        <f>D12*D20</f>
        <v>4539.4093800000001</v>
      </c>
      <c r="E21" s="672">
        <f>E12*E20</f>
        <v>4630.1975676000011</v>
      </c>
      <c r="F21" s="672">
        <f>F12*F20</f>
        <v>5286.27</v>
      </c>
      <c r="G21" s="672">
        <f>G12*G20</f>
        <v>2093.6761506305797</v>
      </c>
    </row>
    <row r="22" spans="1:18">
      <c r="A22" s="522" t="s">
        <v>314</v>
      </c>
      <c r="B22" s="4" t="s">
        <v>284</v>
      </c>
      <c r="C22" s="24"/>
      <c r="D22" s="26"/>
      <c r="E22" s="26"/>
      <c r="F22" s="26"/>
      <c r="G22" s="26"/>
    </row>
    <row r="23" spans="1:18">
      <c r="A23" s="522" t="s">
        <v>315</v>
      </c>
      <c r="B23" s="4" t="s">
        <v>279</v>
      </c>
      <c r="C23" s="24" t="s">
        <v>280</v>
      </c>
      <c r="D23" s="344">
        <v>0</v>
      </c>
      <c r="E23" s="344">
        <v>0</v>
      </c>
      <c r="F23" s="344">
        <v>0</v>
      </c>
      <c r="G23" s="344">
        <v>0.33</v>
      </c>
    </row>
    <row r="24" spans="1:18">
      <c r="A24" s="522" t="s">
        <v>316</v>
      </c>
      <c r="B24" s="4" t="s">
        <v>281</v>
      </c>
      <c r="C24" s="24" t="s">
        <v>271</v>
      </c>
      <c r="D24" s="672">
        <f>D12*D23</f>
        <v>0</v>
      </c>
      <c r="E24" s="672">
        <f>E12*E23</f>
        <v>0</v>
      </c>
      <c r="F24" s="672">
        <f>F12*F23</f>
        <v>0</v>
      </c>
      <c r="G24" s="672">
        <f>G12*G23</f>
        <v>4606.0875313872757</v>
      </c>
    </row>
    <row r="25" spans="1:18" ht="25.5">
      <c r="A25" s="524" t="s">
        <v>317</v>
      </c>
      <c r="B25" s="4" t="s">
        <v>319</v>
      </c>
      <c r="C25" s="24" t="s">
        <v>271</v>
      </c>
      <c r="D25" s="672">
        <f>D12+D15+D18+D21+D24</f>
        <v>26617.445910000002</v>
      </c>
      <c r="E25" s="672">
        <f>E12+E15+E18+E21+E24</f>
        <v>27149.794828200003</v>
      </c>
      <c r="F25" s="672">
        <f>F12+F15+F18+F21+F24</f>
        <v>30996.765000000003</v>
      </c>
      <c r="G25" s="1330">
        <f>G12+G15+G18+G21+G24</f>
        <v>34179.263159044218</v>
      </c>
    </row>
    <row r="26" spans="1:18" ht="28.5" customHeight="1">
      <c r="A26" s="524" t="s">
        <v>318</v>
      </c>
      <c r="B26" s="4" t="s">
        <v>681</v>
      </c>
      <c r="C26" s="24" t="s">
        <v>285</v>
      </c>
      <c r="D26" s="672">
        <f>D25*D6*12/1000</f>
        <v>10111.861231425362</v>
      </c>
      <c r="E26" s="672">
        <f>E25*E6*12/1000</f>
        <v>16155.747598678225</v>
      </c>
      <c r="F26" s="672">
        <f>F25*F6*12/1000</f>
        <v>20379.753052200002</v>
      </c>
      <c r="G26" s="672">
        <f>G25*G6*12/1000</f>
        <v>18438.696013651173</v>
      </c>
      <c r="H26" s="782"/>
    </row>
    <row r="27" spans="1:18">
      <c r="A27" s="520"/>
    </row>
    <row r="28" spans="1:18" ht="15">
      <c r="A28" s="1"/>
      <c r="B28" s="1" t="s">
        <v>834</v>
      </c>
      <c r="C28" s="778">
        <v>43101</v>
      </c>
      <c r="D28" s="778">
        <v>43132</v>
      </c>
      <c r="E28" s="778">
        <v>43160</v>
      </c>
      <c r="F28" s="778">
        <v>43191</v>
      </c>
      <c r="G28" s="778">
        <v>43221</v>
      </c>
      <c r="H28" s="778">
        <v>43252</v>
      </c>
      <c r="I28" s="778">
        <v>43282</v>
      </c>
      <c r="J28" s="778">
        <v>43313</v>
      </c>
      <c r="K28" s="778">
        <v>43344</v>
      </c>
      <c r="L28" s="778">
        <v>43374</v>
      </c>
      <c r="M28" s="778">
        <v>43405</v>
      </c>
      <c r="N28" s="778">
        <v>43435</v>
      </c>
    </row>
    <row r="29" spans="1:18" s="1121" customFormat="1" ht="15.75">
      <c r="B29" s="777" t="s">
        <v>822</v>
      </c>
      <c r="C29" s="777">
        <v>64</v>
      </c>
      <c r="D29" s="777">
        <v>63</v>
      </c>
      <c r="E29" s="777">
        <v>62</v>
      </c>
      <c r="F29" s="779">
        <v>62</v>
      </c>
      <c r="G29" s="779">
        <v>62</v>
      </c>
      <c r="H29" s="779">
        <v>64</v>
      </c>
      <c r="I29" s="779">
        <v>62</v>
      </c>
      <c r="J29" s="779">
        <v>59</v>
      </c>
      <c r="K29" s="781">
        <v>59</v>
      </c>
      <c r="L29" s="781">
        <v>58</v>
      </c>
      <c r="M29" s="781">
        <v>59</v>
      </c>
      <c r="N29" s="781">
        <v>58</v>
      </c>
    </row>
    <row r="30" spans="1:18" s="1121" customFormat="1" ht="15">
      <c r="B30" s="777" t="s">
        <v>823</v>
      </c>
      <c r="C30" s="777">
        <v>1540</v>
      </c>
      <c r="D30" s="777">
        <v>1475</v>
      </c>
      <c r="E30" s="777">
        <v>1400</v>
      </c>
      <c r="F30" s="779">
        <v>1468</v>
      </c>
      <c r="G30" s="779">
        <v>1701</v>
      </c>
      <c r="H30" s="779">
        <v>1781</v>
      </c>
      <c r="I30" s="779">
        <v>1700</v>
      </c>
      <c r="J30" s="779">
        <v>1620</v>
      </c>
      <c r="K30" s="26">
        <v>1510</v>
      </c>
      <c r="L30" s="26">
        <v>1584</v>
      </c>
      <c r="M30" s="26">
        <v>1316</v>
      </c>
      <c r="N30" s="26">
        <v>1316</v>
      </c>
      <c r="P30" s="1127" t="s">
        <v>1383</v>
      </c>
      <c r="Q30" s="1124">
        <f>'Числ. и разряд'!G52</f>
        <v>4.7950745000983259</v>
      </c>
      <c r="R30" s="1123">
        <f>HLOOKUP(Q30,$A$33:$R$34,2)</f>
        <v>1.1419999999999999</v>
      </c>
    </row>
    <row r="31" spans="1:18" s="1121" customFormat="1" ht="15">
      <c r="B31" s="777" t="s">
        <v>824</v>
      </c>
      <c r="C31" s="780">
        <f>C30/C29</f>
        <v>24.0625</v>
      </c>
      <c r="D31" s="780">
        <f t="shared" ref="D31:N31" si="1">D30/D29</f>
        <v>23.412698412698411</v>
      </c>
      <c r="E31" s="780">
        <f t="shared" si="1"/>
        <v>22.580645161290324</v>
      </c>
      <c r="F31" s="780">
        <f t="shared" si="1"/>
        <v>23.677419354838708</v>
      </c>
      <c r="G31" s="780">
        <f t="shared" si="1"/>
        <v>27.43548387096774</v>
      </c>
      <c r="H31" s="780">
        <f t="shared" si="1"/>
        <v>27.828125</v>
      </c>
      <c r="I31" s="780">
        <f t="shared" si="1"/>
        <v>27.419354838709676</v>
      </c>
      <c r="J31" s="780">
        <f t="shared" si="1"/>
        <v>27.457627118644069</v>
      </c>
      <c r="K31" s="780">
        <f t="shared" si="1"/>
        <v>25.593220338983052</v>
      </c>
      <c r="L31" s="780">
        <f t="shared" si="1"/>
        <v>27.310344827586206</v>
      </c>
      <c r="M31" s="780">
        <f t="shared" si="1"/>
        <v>22.305084745762713</v>
      </c>
      <c r="N31" s="780">
        <f t="shared" si="1"/>
        <v>22.689655172413794</v>
      </c>
      <c r="P31" s="1127" t="s">
        <v>1384</v>
      </c>
      <c r="Q31" s="1136">
        <f>R30+(R31-R30)*(Q30-INT(Q30))</f>
        <v>1.2421793870123889</v>
      </c>
      <c r="R31" s="1123">
        <f>HLOOKUP(Q30+1,$A$33:$R$34,2)</f>
        <v>1.268</v>
      </c>
    </row>
    <row r="32" spans="1:18" s="1121" customFormat="1">
      <c r="B32" s="1122"/>
      <c r="D32" s="1283" t="s">
        <v>1385</v>
      </c>
      <c r="H32" s="1284"/>
      <c r="I32" s="1285"/>
    </row>
    <row r="33" spans="1:18" s="1121" customFormat="1">
      <c r="A33" s="1123">
        <v>1</v>
      </c>
      <c r="B33" s="1126">
        <v>2</v>
      </c>
      <c r="C33" s="1123">
        <v>3</v>
      </c>
      <c r="D33" s="1123">
        <v>4</v>
      </c>
      <c r="E33" s="1123">
        <v>5</v>
      </c>
      <c r="F33" s="1123">
        <v>6</v>
      </c>
      <c r="G33" s="1123">
        <v>7</v>
      </c>
      <c r="H33" s="1123">
        <v>8</v>
      </c>
      <c r="I33" s="1123">
        <v>9</v>
      </c>
      <c r="J33" s="1123">
        <v>10</v>
      </c>
      <c r="K33" s="1123">
        <v>11</v>
      </c>
      <c r="L33" s="1123">
        <v>12</v>
      </c>
      <c r="M33" s="1123">
        <v>13</v>
      </c>
      <c r="N33" s="1123">
        <v>14</v>
      </c>
      <c r="O33" s="1123">
        <v>15</v>
      </c>
      <c r="P33" s="1123">
        <v>16</v>
      </c>
      <c r="Q33" s="1123">
        <v>17</v>
      </c>
      <c r="R33" s="1123">
        <v>18</v>
      </c>
    </row>
    <row r="34" spans="1:18" s="1131" customFormat="1">
      <c r="A34" s="1128">
        <v>1</v>
      </c>
      <c r="B34" s="1129">
        <v>1.04</v>
      </c>
      <c r="C34" s="1128">
        <v>1.0900000000000001</v>
      </c>
      <c r="D34" s="1128">
        <v>1.1419999999999999</v>
      </c>
      <c r="E34" s="1128">
        <v>1.268</v>
      </c>
      <c r="F34" s="1128">
        <v>1.407</v>
      </c>
      <c r="G34" s="1128">
        <v>1.546</v>
      </c>
      <c r="H34" s="1128">
        <v>1.6990000000000001</v>
      </c>
      <c r="I34" s="1128">
        <v>1.8660000000000001</v>
      </c>
      <c r="J34" s="1128">
        <v>2.0470000000000002</v>
      </c>
      <c r="K34" s="1128">
        <v>2.242</v>
      </c>
      <c r="L34" s="1128">
        <v>2.423</v>
      </c>
      <c r="M34" s="1128">
        <v>2.6179999999999999</v>
      </c>
      <c r="N34" s="1128">
        <v>2.8130000000000002</v>
      </c>
      <c r="O34" s="1128">
        <v>3.036</v>
      </c>
      <c r="P34" s="1128">
        <v>3.2589999999999999</v>
      </c>
      <c r="Q34" s="1128">
        <v>3.51</v>
      </c>
      <c r="R34" s="1128">
        <v>4.5</v>
      </c>
    </row>
    <row r="35" spans="1:18" s="1121" customFormat="1" ht="13.5">
      <c r="A35" s="1132"/>
      <c r="B35" s="1126"/>
      <c r="C35" s="1123"/>
      <c r="D35" s="1123"/>
      <c r="E35" s="1123"/>
      <c r="F35" s="1123"/>
      <c r="G35" s="1123"/>
      <c r="H35" s="1123"/>
      <c r="I35" s="1123"/>
      <c r="J35" s="1123"/>
      <c r="K35" s="1123"/>
      <c r="L35" s="1123"/>
      <c r="M35" s="1123"/>
      <c r="N35" s="1123"/>
      <c r="O35" s="1123"/>
      <c r="P35" s="1123"/>
      <c r="Q35" s="1123"/>
      <c r="R35" s="1123"/>
    </row>
    <row r="36" spans="1:18" s="1134" customFormat="1">
      <c r="A36" s="1130">
        <v>7500</v>
      </c>
      <c r="B36" s="1133">
        <f>$A$36*B34</f>
        <v>7800</v>
      </c>
      <c r="C36" s="1256">
        <f>$A$36*C34</f>
        <v>8175.0000000000009</v>
      </c>
      <c r="D36" s="1256">
        <f t="shared" ref="D36:J36" si="2">$A$36*D34</f>
        <v>8565</v>
      </c>
      <c r="E36" s="1256">
        <f t="shared" si="2"/>
        <v>9510</v>
      </c>
      <c r="F36" s="1256">
        <f t="shared" si="2"/>
        <v>10552.5</v>
      </c>
      <c r="G36" s="1256">
        <f t="shared" si="2"/>
        <v>11595</v>
      </c>
      <c r="H36" s="1256">
        <f t="shared" si="2"/>
        <v>12742.5</v>
      </c>
      <c r="I36" s="1256">
        <f t="shared" si="2"/>
        <v>13995</v>
      </c>
      <c r="J36" s="1256">
        <f t="shared" si="2"/>
        <v>15352.500000000002</v>
      </c>
      <c r="K36" s="1256">
        <f>$A$36*K34</f>
        <v>16815</v>
      </c>
      <c r="L36" s="1256">
        <f t="shared" ref="L36:R36" si="3">$A$36*L34</f>
        <v>18172.5</v>
      </c>
      <c r="M36" s="1256">
        <f t="shared" si="3"/>
        <v>19635</v>
      </c>
      <c r="N36" s="1256">
        <f t="shared" si="3"/>
        <v>21097.5</v>
      </c>
      <c r="O36" s="1256">
        <f t="shared" si="3"/>
        <v>22770</v>
      </c>
      <c r="P36" s="1256">
        <f t="shared" si="3"/>
        <v>24442.5</v>
      </c>
      <c r="Q36" s="1256">
        <f t="shared" si="3"/>
        <v>26325</v>
      </c>
      <c r="R36" s="1256">
        <f t="shared" si="3"/>
        <v>33750</v>
      </c>
    </row>
    <row r="37" spans="1:18" s="1121" customFormat="1">
      <c r="A37" s="1130">
        <f>A36*1.4*$A$38</f>
        <v>11288.000324999999</v>
      </c>
      <c r="B37" s="1125">
        <f>B36*1.4*$A$38</f>
        <v>11739.520337999998</v>
      </c>
      <c r="C37" s="1256">
        <f t="shared" ref="C37:R37" si="4">C36*1.4*$A$38</f>
        <v>12303.920354249998</v>
      </c>
      <c r="D37" s="1256">
        <f t="shared" si="4"/>
        <v>12890.896371149998</v>
      </c>
      <c r="E37" s="1256">
        <f t="shared" si="4"/>
        <v>14313.184412099999</v>
      </c>
      <c r="F37" s="1256">
        <f t="shared" si="4"/>
        <v>15882.216457274997</v>
      </c>
      <c r="G37" s="1256">
        <f t="shared" si="4"/>
        <v>17451.248502449998</v>
      </c>
      <c r="H37" s="1256">
        <f t="shared" si="4"/>
        <v>19178.312552174997</v>
      </c>
      <c r="I37" s="1256">
        <f t="shared" si="4"/>
        <v>21063.408606449997</v>
      </c>
      <c r="J37" s="1256">
        <f t="shared" si="4"/>
        <v>23106.536665274998</v>
      </c>
      <c r="K37" s="1256">
        <f t="shared" si="4"/>
        <v>25307.696728649997</v>
      </c>
      <c r="L37" s="1256">
        <f t="shared" si="4"/>
        <v>27350.824787474998</v>
      </c>
      <c r="M37" s="1256">
        <f t="shared" si="4"/>
        <v>29551.984850849996</v>
      </c>
      <c r="N37" s="1256">
        <f t="shared" si="4"/>
        <v>31753.144914224995</v>
      </c>
      <c r="O37" s="1256">
        <f t="shared" si="4"/>
        <v>34270.368986699992</v>
      </c>
      <c r="P37" s="1256">
        <f t="shared" si="4"/>
        <v>36787.593059175</v>
      </c>
      <c r="Q37" s="1256">
        <f t="shared" si="4"/>
        <v>39620.881140749996</v>
      </c>
      <c r="R37" s="1256">
        <f t="shared" si="4"/>
        <v>50796.001462499997</v>
      </c>
    </row>
    <row r="38" spans="1:18" s="1121" customFormat="1">
      <c r="A38" s="1134">
        <v>1.0750476499999999</v>
      </c>
      <c r="B38" s="1122"/>
    </row>
    <row r="39" spans="1:18" s="1121" customFormat="1">
      <c r="B39" s="1122"/>
    </row>
    <row r="40" spans="1:18" s="1121" customFormat="1" ht="15.75">
      <c r="B40" s="1122"/>
      <c r="D40" s="1135"/>
      <c r="G40" s="1122"/>
      <c r="I40" s="25"/>
      <c r="R40" s="1286">
        <v>20</v>
      </c>
    </row>
    <row r="41" spans="1:18">
      <c r="B41" s="27"/>
      <c r="C41" s="28"/>
      <c r="D41" s="28"/>
    </row>
    <row r="42" spans="1:18">
      <c r="B42" s="27"/>
      <c r="C42" s="28"/>
      <c r="D42" s="28"/>
    </row>
    <row r="43" spans="1:18">
      <c r="B43" s="27"/>
      <c r="C43" s="28"/>
      <c r="D43" s="28"/>
    </row>
    <row r="44" spans="1:18">
      <c r="B44" s="27"/>
      <c r="C44" s="28"/>
      <c r="D44" s="28"/>
    </row>
    <row r="45" spans="1:18">
      <c r="B45" s="27"/>
      <c r="C45" s="28"/>
      <c r="D45" s="28"/>
    </row>
    <row r="46" spans="1:18">
      <c r="B46" s="27"/>
      <c r="C46" s="28"/>
      <c r="D46" s="28"/>
    </row>
    <row r="47" spans="1:18">
      <c r="B47" s="27"/>
      <c r="C47" s="28"/>
      <c r="D47" s="28"/>
    </row>
    <row r="48" spans="1:18">
      <c r="B48" s="27"/>
      <c r="C48" s="28"/>
      <c r="D48" s="28"/>
    </row>
    <row r="49" spans="2:4">
      <c r="B49" s="27"/>
      <c r="C49" s="28"/>
      <c r="D49" s="28"/>
    </row>
    <row r="50" spans="2:4">
      <c r="B50" s="27"/>
      <c r="C50" s="28"/>
      <c r="D50" s="28"/>
    </row>
    <row r="51" spans="2:4">
      <c r="B51" s="27"/>
      <c r="C51" s="28"/>
      <c r="D51" s="28"/>
    </row>
    <row r="52" spans="2:4">
      <c r="B52" s="27"/>
      <c r="C52" s="28"/>
      <c r="D52" s="28"/>
    </row>
    <row r="53" spans="2:4">
      <c r="B53" s="27"/>
      <c r="C53" s="28"/>
      <c r="D53" s="28"/>
    </row>
    <row r="54" spans="2:4">
      <c r="B54" s="27"/>
      <c r="C54" s="28"/>
      <c r="D54" s="28"/>
    </row>
    <row r="55" spans="2:4">
      <c r="B55" s="27"/>
      <c r="C55" s="28"/>
      <c r="D55" s="28"/>
    </row>
    <row r="56" spans="2:4">
      <c r="B56" s="27"/>
      <c r="C56" s="28"/>
      <c r="D56" s="28"/>
    </row>
    <row r="57" spans="2:4">
      <c r="B57" s="27"/>
      <c r="C57" s="28"/>
      <c r="D57" s="28"/>
    </row>
    <row r="58" spans="2:4">
      <c r="B58" s="27"/>
      <c r="C58" s="28"/>
      <c r="D58" s="28"/>
    </row>
    <row r="59" spans="2:4">
      <c r="B59" s="27"/>
      <c r="C59" s="28"/>
      <c r="D59" s="28"/>
    </row>
    <row r="60" spans="2:4">
      <c r="B60" s="27"/>
      <c r="C60" s="28"/>
      <c r="D60" s="28"/>
    </row>
    <row r="61" spans="2:4">
      <c r="B61" s="27"/>
      <c r="C61" s="28"/>
      <c r="D61" s="28"/>
    </row>
    <row r="62" spans="2:4">
      <c r="B62" s="27"/>
      <c r="C62" s="28"/>
      <c r="D62" s="28"/>
    </row>
    <row r="63" spans="2:4">
      <c r="B63" s="27"/>
      <c r="C63" s="28"/>
      <c r="D63" s="28"/>
    </row>
    <row r="64" spans="2:4">
      <c r="B64" s="27"/>
      <c r="C64" s="28"/>
      <c r="D64" s="28"/>
    </row>
    <row r="65" spans="2:4">
      <c r="B65" s="27"/>
      <c r="C65" s="28"/>
      <c r="D65" s="28"/>
    </row>
    <row r="66" spans="2:4">
      <c r="B66" s="27"/>
      <c r="C66" s="28"/>
      <c r="D66" s="28"/>
    </row>
    <row r="67" spans="2:4">
      <c r="B67" s="27"/>
      <c r="C67" s="28"/>
      <c r="D67" s="28"/>
    </row>
    <row r="68" spans="2:4">
      <c r="B68" s="27"/>
      <c r="C68" s="28"/>
      <c r="D68" s="28"/>
    </row>
    <row r="69" spans="2:4">
      <c r="B69" s="27"/>
      <c r="C69" s="28"/>
      <c r="D69" s="28"/>
    </row>
    <row r="70" spans="2:4">
      <c r="B70" s="27"/>
      <c r="C70" s="28"/>
      <c r="D70" s="28"/>
    </row>
    <row r="71" spans="2:4">
      <c r="B71" s="27"/>
      <c r="C71" s="28"/>
      <c r="D71" s="28"/>
    </row>
    <row r="72" spans="2:4">
      <c r="B72" s="27"/>
      <c r="C72" s="28"/>
      <c r="D72" s="28"/>
    </row>
    <row r="73" spans="2:4">
      <c r="B73" s="27"/>
      <c r="C73" s="28"/>
      <c r="D73" s="28"/>
    </row>
    <row r="74" spans="2:4">
      <c r="B74" s="27"/>
      <c r="C74" s="28"/>
      <c r="D74" s="28"/>
    </row>
    <row r="75" spans="2:4">
      <c r="B75" s="27"/>
      <c r="C75" s="28"/>
      <c r="D75" s="28"/>
    </row>
    <row r="76" spans="2:4">
      <c r="B76" s="27"/>
      <c r="C76" s="28"/>
      <c r="D76" s="28"/>
    </row>
    <row r="77" spans="2:4">
      <c r="B77" s="27"/>
      <c r="C77" s="28"/>
      <c r="D77" s="28"/>
    </row>
    <row r="78" spans="2:4">
      <c r="B78" s="27"/>
      <c r="C78" s="28"/>
      <c r="D78" s="28"/>
    </row>
    <row r="79" spans="2:4">
      <c r="B79" s="27"/>
      <c r="C79" s="28"/>
      <c r="D79" s="28"/>
    </row>
    <row r="80" spans="2:4">
      <c r="B80" s="27"/>
      <c r="C80" s="28"/>
      <c r="D80" s="28"/>
    </row>
    <row r="81" spans="2:4">
      <c r="B81" s="27"/>
      <c r="C81" s="28"/>
      <c r="D81" s="28"/>
    </row>
    <row r="82" spans="2:4">
      <c r="B82" s="27"/>
      <c r="C82" s="28"/>
      <c r="D82" s="28"/>
    </row>
    <row r="83" spans="2:4">
      <c r="B83" s="27"/>
      <c r="C83" s="28"/>
      <c r="D83" s="28"/>
    </row>
    <row r="84" spans="2:4">
      <c r="B84" s="27"/>
      <c r="C84" s="28"/>
      <c r="D84" s="28"/>
    </row>
    <row r="85" spans="2:4">
      <c r="B85" s="27"/>
      <c r="C85" s="28"/>
      <c r="D85" s="28"/>
    </row>
    <row r="86" spans="2:4">
      <c r="B86" s="27"/>
      <c r="C86" s="28"/>
      <c r="D86" s="28"/>
    </row>
    <row r="87" spans="2:4">
      <c r="B87" s="27"/>
      <c r="C87" s="28"/>
      <c r="D87" s="28"/>
    </row>
    <row r="88" spans="2:4">
      <c r="C88" s="28"/>
      <c r="D88" s="28"/>
    </row>
    <row r="89" spans="2:4">
      <c r="C89" s="28"/>
      <c r="D89" s="28"/>
    </row>
    <row r="90" spans="2:4">
      <c r="C90" s="28"/>
      <c r="D90" s="28"/>
    </row>
    <row r="91" spans="2:4">
      <c r="C91" s="28"/>
      <c r="D91" s="28"/>
    </row>
    <row r="92" spans="2:4">
      <c r="C92" s="28"/>
      <c r="D92" s="28"/>
    </row>
    <row r="93" spans="2:4">
      <c r="C93" s="28"/>
      <c r="D93" s="28"/>
    </row>
    <row r="94" spans="2:4">
      <c r="C94" s="28"/>
      <c r="D94" s="28"/>
    </row>
    <row r="95" spans="2:4">
      <c r="C95" s="28"/>
      <c r="D95" s="28"/>
    </row>
    <row r="96" spans="2:4">
      <c r="C96" s="28"/>
      <c r="D96" s="28"/>
    </row>
    <row r="97" spans="3:4">
      <c r="C97" s="28"/>
      <c r="D97" s="28"/>
    </row>
    <row r="98" spans="3:4">
      <c r="C98" s="28"/>
      <c r="D98" s="28"/>
    </row>
    <row r="99" spans="3:4">
      <c r="C99" s="28"/>
      <c r="D99" s="28"/>
    </row>
    <row r="100" spans="3:4">
      <c r="C100" s="28"/>
      <c r="D100" s="28"/>
    </row>
    <row r="101" spans="3:4">
      <c r="C101" s="28"/>
      <c r="D101" s="28"/>
    </row>
    <row r="102" spans="3:4">
      <c r="C102" s="28"/>
      <c r="D102" s="28"/>
    </row>
    <row r="103" spans="3:4">
      <c r="C103" s="28"/>
      <c r="D103" s="28"/>
    </row>
    <row r="104" spans="3:4">
      <c r="C104" s="28"/>
      <c r="D104" s="28"/>
    </row>
    <row r="105" spans="3:4">
      <c r="C105" s="28"/>
      <c r="D105" s="28"/>
    </row>
    <row r="106" spans="3:4">
      <c r="C106" s="28"/>
      <c r="D106" s="28"/>
    </row>
    <row r="107" spans="3:4">
      <c r="C107" s="28"/>
      <c r="D107" s="28"/>
    </row>
    <row r="108" spans="3:4">
      <c r="C108" s="28"/>
      <c r="D108" s="28"/>
    </row>
    <row r="109" spans="3:4">
      <c r="C109" s="28"/>
      <c r="D109" s="28"/>
    </row>
    <row r="110" spans="3:4">
      <c r="C110" s="28"/>
      <c r="D110" s="28"/>
    </row>
  </sheetData>
  <mergeCells count="1">
    <mergeCell ref="A5:F5"/>
  </mergeCells>
  <phoneticPr fontId="4" type="noConversion"/>
  <pageMargins left="0.15748031496062992" right="7.874015748031496E-2" top="1.1811023622047245" bottom="0.19685039370078741" header="0" footer="0"/>
  <pageSetup paperSize="9" scale="83" fitToHeight="0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4">
    <tabColor indexed="22"/>
    <pageSetUpPr fitToPage="1"/>
  </sheetPr>
  <dimension ref="A1:I53"/>
  <sheetViews>
    <sheetView topLeftCell="A19" workbookViewId="0">
      <selection activeCell="E52" sqref="E52"/>
    </sheetView>
  </sheetViews>
  <sheetFormatPr defaultRowHeight="12.75"/>
  <cols>
    <col min="1" max="1" width="39.7109375" style="1" customWidth="1"/>
    <col min="2" max="2" width="7.5703125" style="1" customWidth="1"/>
    <col min="3" max="4" width="9.140625" style="1"/>
    <col min="5" max="5" width="12.5703125" style="1" customWidth="1"/>
    <col min="6" max="6" width="15.42578125" style="1" customWidth="1"/>
    <col min="7" max="7" width="10.85546875" style="1" bestFit="1" customWidth="1"/>
    <col min="8" max="8" width="10.140625" style="1" customWidth="1"/>
    <col min="9" max="9" width="3.42578125" style="1" customWidth="1"/>
    <col min="10" max="16384" width="9.140625" style="1"/>
  </cols>
  <sheetData>
    <row r="1" spans="1:9" ht="15.75">
      <c r="A1" s="538" t="s">
        <v>729</v>
      </c>
      <c r="B1" s="538"/>
      <c r="C1" s="538"/>
      <c r="D1" s="538"/>
      <c r="E1" s="538"/>
      <c r="F1" s="538"/>
      <c r="I1" s="1">
        <v>21</v>
      </c>
    </row>
    <row r="3" spans="1:9" ht="75.75" customHeight="1">
      <c r="A3" s="527" t="s">
        <v>682</v>
      </c>
      <c r="B3" s="528" t="s">
        <v>267</v>
      </c>
      <c r="C3" s="528" t="s">
        <v>758</v>
      </c>
      <c r="D3" s="528" t="s">
        <v>757</v>
      </c>
      <c r="E3" s="528" t="s">
        <v>756</v>
      </c>
      <c r="F3" s="528" t="s">
        <v>759</v>
      </c>
      <c r="G3" s="528" t="s">
        <v>683</v>
      </c>
      <c r="H3" s="528" t="s">
        <v>761</v>
      </c>
    </row>
    <row r="4" spans="1:9">
      <c r="A4" s="285" t="s">
        <v>731</v>
      </c>
      <c r="B4" s="527"/>
      <c r="C4" s="527"/>
      <c r="D4" s="528"/>
      <c r="E4" s="528"/>
      <c r="F4" s="528"/>
      <c r="G4" s="528"/>
      <c r="H4" s="528"/>
    </row>
    <row r="5" spans="1:9">
      <c r="A5" s="529" t="s">
        <v>754</v>
      </c>
      <c r="B5" s="539"/>
      <c r="C5" s="539"/>
      <c r="D5" s="541"/>
      <c r="E5" s="540"/>
      <c r="F5" s="542"/>
      <c r="G5" s="539"/>
      <c r="H5" s="539"/>
    </row>
    <row r="6" spans="1:9">
      <c r="A6" s="529" t="s">
        <v>755</v>
      </c>
      <c r="B6" s="26" t="s">
        <v>346</v>
      </c>
      <c r="C6" s="1117">
        <f>'2.1'!R38</f>
        <v>49.117999999999995</v>
      </c>
      <c r="D6" s="531" t="s">
        <v>684</v>
      </c>
      <c r="E6" s="1119">
        <f>5/100*C6</f>
        <v>2.4558999999999997</v>
      </c>
      <c r="F6" s="532" t="s">
        <v>732</v>
      </c>
      <c r="G6" s="530">
        <f>5*0+4</f>
        <v>4</v>
      </c>
      <c r="H6" s="1119">
        <f>G6*E6</f>
        <v>9.823599999999999</v>
      </c>
    </row>
    <row r="7" spans="1:9">
      <c r="A7" s="529" t="s">
        <v>749</v>
      </c>
      <c r="B7" s="26" t="s">
        <v>346</v>
      </c>
      <c r="C7" s="1117">
        <f>'2.1'!R37</f>
        <v>7.0310000000000006</v>
      </c>
      <c r="D7" s="531" t="s">
        <v>685</v>
      </c>
      <c r="E7" s="1119">
        <f>4.5/100*C7</f>
        <v>0.31639500000000004</v>
      </c>
      <c r="F7" s="532" t="s">
        <v>732</v>
      </c>
      <c r="G7" s="530">
        <f>5*0+4</f>
        <v>4</v>
      </c>
      <c r="H7" s="1119">
        <f t="shared" ref="H7:H26" si="0">G7*E7</f>
        <v>1.2655800000000001</v>
      </c>
    </row>
    <row r="8" spans="1:9">
      <c r="A8" s="533" t="s">
        <v>750</v>
      </c>
      <c r="B8" s="26" t="s">
        <v>346</v>
      </c>
      <c r="C8" s="1117">
        <f>'2.1'!R45</f>
        <v>65.031250000000014</v>
      </c>
      <c r="D8" s="531" t="s">
        <v>686</v>
      </c>
      <c r="E8" s="1119">
        <f>4/100*C8</f>
        <v>2.6012500000000007</v>
      </c>
      <c r="F8" s="532" t="s">
        <v>732</v>
      </c>
      <c r="G8" s="530">
        <v>4</v>
      </c>
      <c r="H8" s="1119">
        <f t="shared" si="0"/>
        <v>10.405000000000003</v>
      </c>
    </row>
    <row r="9" spans="1:9">
      <c r="A9" s="26" t="s">
        <v>751</v>
      </c>
      <c r="B9" s="26" t="s">
        <v>346</v>
      </c>
      <c r="C9" s="1117">
        <f>'2.1'!R46</f>
        <v>147.09915000000009</v>
      </c>
      <c r="D9" s="531" t="s">
        <v>687</v>
      </c>
      <c r="E9" s="1119">
        <f>3.5/100*C9</f>
        <v>5.1484702500000035</v>
      </c>
      <c r="F9" s="532" t="s">
        <v>732</v>
      </c>
      <c r="G9" s="530">
        <v>4</v>
      </c>
      <c r="H9" s="1119">
        <f t="shared" si="0"/>
        <v>20.593881000000014</v>
      </c>
    </row>
    <row r="10" spans="1:9">
      <c r="A10" s="26" t="s">
        <v>752</v>
      </c>
      <c r="B10" s="26" t="s">
        <v>346</v>
      </c>
      <c r="C10" s="1117"/>
      <c r="D10" s="531" t="s">
        <v>685</v>
      </c>
      <c r="E10" s="1119">
        <f>4.5/100*C10</f>
        <v>0</v>
      </c>
      <c r="F10" s="532" t="s">
        <v>732</v>
      </c>
      <c r="G10" s="530"/>
      <c r="H10" s="1119"/>
    </row>
    <row r="11" spans="1:9">
      <c r="A11" s="26" t="s">
        <v>753</v>
      </c>
      <c r="B11" s="539"/>
      <c r="C11" s="1118"/>
      <c r="D11" s="541"/>
      <c r="E11" s="1118"/>
      <c r="F11" s="542"/>
      <c r="G11" s="539"/>
      <c r="H11" s="1118"/>
    </row>
    <row r="12" spans="1:9">
      <c r="A12" s="26" t="s">
        <v>762</v>
      </c>
      <c r="B12" s="26" t="s">
        <v>346</v>
      </c>
      <c r="C12" s="1117">
        <f>'2.1'!R40</f>
        <v>3.1530000000000005</v>
      </c>
      <c r="D12" s="531" t="s">
        <v>687</v>
      </c>
      <c r="E12" s="1119">
        <f>3.5/100*C12</f>
        <v>0.11035500000000002</v>
      </c>
      <c r="F12" s="532" t="s">
        <v>733</v>
      </c>
      <c r="G12" s="530">
        <f>5*0+4</f>
        <v>4</v>
      </c>
      <c r="H12" s="1119">
        <f t="shared" si="0"/>
        <v>0.44142000000000009</v>
      </c>
    </row>
    <row r="13" spans="1:9">
      <c r="A13" s="26" t="s">
        <v>763</v>
      </c>
      <c r="B13" s="26" t="s">
        <v>346</v>
      </c>
      <c r="C13" s="1117">
        <f>'2.1'!R47</f>
        <v>13.16</v>
      </c>
      <c r="D13" s="531" t="s">
        <v>688</v>
      </c>
      <c r="E13" s="1119">
        <f>3/100*C13</f>
        <v>0.39479999999999998</v>
      </c>
      <c r="F13" s="531" t="s">
        <v>733</v>
      </c>
      <c r="G13" s="530">
        <v>4</v>
      </c>
      <c r="H13" s="1119">
        <f t="shared" si="0"/>
        <v>1.5791999999999999</v>
      </c>
    </row>
    <row r="14" spans="1:9">
      <c r="A14" s="26" t="s">
        <v>689</v>
      </c>
      <c r="B14" s="26"/>
      <c r="C14" s="539"/>
      <c r="D14" s="539"/>
      <c r="E14" s="1118"/>
      <c r="F14" s="539"/>
      <c r="G14" s="539"/>
      <c r="H14" s="1119"/>
    </row>
    <row r="15" spans="1:9">
      <c r="A15" s="26" t="s">
        <v>764</v>
      </c>
      <c r="B15" s="26" t="s">
        <v>690</v>
      </c>
      <c r="C15" s="530">
        <f>'2.2'!R32</f>
        <v>45</v>
      </c>
      <c r="D15" s="531" t="s">
        <v>691</v>
      </c>
      <c r="E15" s="1119">
        <f>2.5/100*C15</f>
        <v>1.125</v>
      </c>
      <c r="F15" s="532" t="s">
        <v>735</v>
      </c>
      <c r="G15" s="530">
        <f>5</f>
        <v>5</v>
      </c>
      <c r="H15" s="1119">
        <f t="shared" si="0"/>
        <v>5.625</v>
      </c>
    </row>
    <row r="16" spans="1:9">
      <c r="A16" s="26" t="s">
        <v>765</v>
      </c>
      <c r="B16" s="26" t="s">
        <v>690</v>
      </c>
      <c r="C16" s="530">
        <f>'2.2'!R33</f>
        <v>11</v>
      </c>
      <c r="D16" s="531" t="s">
        <v>688</v>
      </c>
      <c r="E16" s="1119">
        <f>3/100*C16</f>
        <v>0.32999999999999996</v>
      </c>
      <c r="F16" s="534" t="s">
        <v>735</v>
      </c>
      <c r="G16" s="530">
        <f>5</f>
        <v>5</v>
      </c>
      <c r="H16" s="1119">
        <f t="shared" si="0"/>
        <v>1.65</v>
      </c>
    </row>
    <row r="17" spans="1:8">
      <c r="A17" s="26" t="s">
        <v>766</v>
      </c>
      <c r="B17" s="26" t="s">
        <v>690</v>
      </c>
      <c r="C17" s="530">
        <f>'2.2'!R31</f>
        <v>24</v>
      </c>
      <c r="D17" s="531" t="s">
        <v>692</v>
      </c>
      <c r="E17" s="1119">
        <f>2.7/100*C17</f>
        <v>0.64800000000000013</v>
      </c>
      <c r="F17" s="531" t="s">
        <v>735</v>
      </c>
      <c r="G17" s="530">
        <f>5</f>
        <v>5</v>
      </c>
      <c r="H17" s="1119">
        <f t="shared" si="0"/>
        <v>3.2400000000000007</v>
      </c>
    </row>
    <row r="18" spans="1:8">
      <c r="A18" s="26" t="s">
        <v>1440</v>
      </c>
      <c r="B18" s="26"/>
      <c r="C18" s="530"/>
      <c r="D18" s="531"/>
      <c r="E18" s="1119"/>
      <c r="F18" s="531"/>
      <c r="G18" s="530"/>
      <c r="H18" s="1119"/>
    </row>
    <row r="19" spans="1:8">
      <c r="A19" s="26" t="s">
        <v>1441</v>
      </c>
      <c r="B19" s="26" t="s">
        <v>690</v>
      </c>
      <c r="C19" s="530">
        <f>C21</f>
        <v>32</v>
      </c>
      <c r="D19" s="531" t="s">
        <v>1443</v>
      </c>
      <c r="E19" s="1119">
        <f>2.5/1000*C19</f>
        <v>0.08</v>
      </c>
      <c r="F19" s="532" t="s">
        <v>1445</v>
      </c>
      <c r="G19" s="530">
        <f>6*0+5</f>
        <v>5</v>
      </c>
      <c r="H19" s="1119">
        <f t="shared" si="0"/>
        <v>0.4</v>
      </c>
    </row>
    <row r="20" spans="1:8">
      <c r="A20" s="26" t="s">
        <v>1442</v>
      </c>
      <c r="B20" s="26" t="s">
        <v>690</v>
      </c>
      <c r="C20" s="530">
        <f>C22</f>
        <v>106</v>
      </c>
      <c r="D20" s="531" t="s">
        <v>1444</v>
      </c>
      <c r="E20" s="1119">
        <f>2/1000*C20</f>
        <v>0.21199999999999999</v>
      </c>
      <c r="F20" s="532" t="s">
        <v>1445</v>
      </c>
      <c r="G20" s="530">
        <f>6*0+5</f>
        <v>5</v>
      </c>
      <c r="H20" s="1119">
        <f t="shared" si="0"/>
        <v>1.06</v>
      </c>
    </row>
    <row r="21" spans="1:8">
      <c r="A21" s="26" t="s">
        <v>693</v>
      </c>
      <c r="B21" s="26" t="s">
        <v>690</v>
      </c>
      <c r="C21" s="530">
        <f>'2.2'!R22</f>
        <v>32</v>
      </c>
      <c r="D21" s="531" t="s">
        <v>694</v>
      </c>
      <c r="E21" s="1119">
        <f>9.5/1000*C21</f>
        <v>0.30399999999999999</v>
      </c>
      <c r="F21" s="532" t="s">
        <v>736</v>
      </c>
      <c r="G21" s="530">
        <f>6*0+5</f>
        <v>5</v>
      </c>
      <c r="H21" s="1119">
        <f t="shared" si="0"/>
        <v>1.52</v>
      </c>
    </row>
    <row r="22" spans="1:8">
      <c r="A22" s="26" t="s">
        <v>695</v>
      </c>
      <c r="B22" s="26" t="s">
        <v>690</v>
      </c>
      <c r="C22" s="530">
        <f>'2.2'!R26</f>
        <v>106</v>
      </c>
      <c r="D22" s="531" t="s">
        <v>696</v>
      </c>
      <c r="E22" s="1119">
        <f>4/1000*C22</f>
        <v>0.42399999999999999</v>
      </c>
      <c r="F22" s="531" t="s">
        <v>736</v>
      </c>
      <c r="G22" s="530">
        <v>5</v>
      </c>
      <c r="H22" s="1119">
        <f t="shared" si="0"/>
        <v>2.12</v>
      </c>
    </row>
    <row r="23" spans="1:8">
      <c r="A23" s="26" t="s">
        <v>697</v>
      </c>
      <c r="B23" s="26" t="s">
        <v>690</v>
      </c>
      <c r="C23" s="530">
        <v>7934</v>
      </c>
      <c r="D23" s="531" t="s">
        <v>698</v>
      </c>
      <c r="E23" s="1119">
        <f>3.5/10000*C23</f>
        <v>2.7768999999999999</v>
      </c>
      <c r="F23" s="532" t="s">
        <v>737</v>
      </c>
      <c r="G23" s="530">
        <v>3</v>
      </c>
      <c r="H23" s="1119">
        <f t="shared" si="0"/>
        <v>8.3307000000000002</v>
      </c>
    </row>
    <row r="24" spans="1:8">
      <c r="A24" s="26" t="s">
        <v>699</v>
      </c>
      <c r="B24" s="26" t="s">
        <v>690</v>
      </c>
      <c r="C24" s="530">
        <v>433</v>
      </c>
      <c r="D24" s="531" t="s">
        <v>700</v>
      </c>
      <c r="E24" s="1119">
        <f>2.6/1000*C24</f>
        <v>1.1257999999999999</v>
      </c>
      <c r="F24" s="531" t="s">
        <v>737</v>
      </c>
      <c r="G24" s="530">
        <v>3</v>
      </c>
      <c r="H24" s="1119">
        <f t="shared" si="0"/>
        <v>3.3773999999999997</v>
      </c>
    </row>
    <row r="25" spans="1:8">
      <c r="A25" s="26" t="s">
        <v>701</v>
      </c>
      <c r="B25" s="26" t="s">
        <v>690</v>
      </c>
      <c r="C25" s="530">
        <f>3200*0</f>
        <v>0</v>
      </c>
      <c r="D25" s="531" t="s">
        <v>702</v>
      </c>
      <c r="E25" s="1119">
        <f>2/10000*C25</f>
        <v>0</v>
      </c>
      <c r="F25" s="532" t="s">
        <v>734</v>
      </c>
      <c r="G25" s="530">
        <v>4</v>
      </c>
      <c r="H25" s="1119">
        <f t="shared" si="0"/>
        <v>0</v>
      </c>
    </row>
    <row r="26" spans="1:8">
      <c r="A26" s="26" t="s">
        <v>767</v>
      </c>
      <c r="B26" s="26" t="s">
        <v>703</v>
      </c>
      <c r="C26" s="530">
        <v>0</v>
      </c>
      <c r="D26" s="531" t="s">
        <v>696</v>
      </c>
      <c r="E26" s="1119">
        <f>4/1000*C26</f>
        <v>0</v>
      </c>
      <c r="F26" s="532" t="s">
        <v>738</v>
      </c>
      <c r="G26" s="530">
        <v>4</v>
      </c>
      <c r="H26" s="1119">
        <f t="shared" si="0"/>
        <v>0</v>
      </c>
    </row>
    <row r="27" spans="1:8">
      <c r="A27" s="26"/>
      <c r="B27" s="26"/>
      <c r="C27" s="26"/>
      <c r="D27" s="26"/>
      <c r="E27" s="1119"/>
      <c r="F27" s="26"/>
      <c r="G27" s="26"/>
      <c r="H27" s="1119"/>
    </row>
    <row r="28" spans="1:8" s="535" customFormat="1">
      <c r="A28" s="285" t="s">
        <v>381</v>
      </c>
      <c r="B28" s="285"/>
      <c r="C28" s="285"/>
      <c r="D28" s="285"/>
      <c r="E28" s="1120">
        <f>SUM(E4:E26)</f>
        <v>18.052870250000005</v>
      </c>
      <c r="F28" s="285"/>
      <c r="G28" s="285"/>
      <c r="H28" s="1120">
        <f>SUM(H4:H26)</f>
        <v>71.431781000000001</v>
      </c>
    </row>
    <row r="29" spans="1:8">
      <c r="A29" s="26" t="s">
        <v>704</v>
      </c>
      <c r="B29" s="26"/>
      <c r="C29" s="26"/>
      <c r="D29" s="26"/>
      <c r="E29" s="1120">
        <f>E28*1.18</f>
        <v>21.302386895000005</v>
      </c>
      <c r="F29" s="26"/>
      <c r="G29" s="26"/>
      <c r="H29" s="1119">
        <f>H28*1.18</f>
        <v>84.289501579999992</v>
      </c>
    </row>
    <row r="30" spans="1:8">
      <c r="A30" s="26" t="s">
        <v>705</v>
      </c>
      <c r="B30" s="26"/>
      <c r="C30" s="26"/>
      <c r="D30" s="26"/>
      <c r="E30" s="1120">
        <v>4</v>
      </c>
      <c r="F30" s="26"/>
      <c r="G30" s="530">
        <v>4</v>
      </c>
      <c r="H30" s="1119">
        <f>E30*G30</f>
        <v>16</v>
      </c>
    </row>
    <row r="31" spans="1:8">
      <c r="A31" s="285" t="s">
        <v>706</v>
      </c>
      <c r="B31" s="26"/>
      <c r="C31" s="26"/>
      <c r="D31" s="26"/>
      <c r="E31" s="1120">
        <f>E29+E30</f>
        <v>25.302386895000005</v>
      </c>
      <c r="F31" s="26"/>
      <c r="G31" s="26"/>
      <c r="H31" s="1119">
        <f>H29+H30</f>
        <v>100.28950157999999</v>
      </c>
    </row>
    <row r="32" spans="1:8">
      <c r="A32" s="285" t="s">
        <v>730</v>
      </c>
      <c r="B32" s="26"/>
      <c r="C32" s="26"/>
      <c r="D32" s="26"/>
      <c r="E32" s="1120"/>
      <c r="F32" s="26"/>
      <c r="G32" s="26"/>
      <c r="H32" s="1119"/>
    </row>
    <row r="33" spans="1:8">
      <c r="A33" s="26" t="s">
        <v>707</v>
      </c>
      <c r="B33" s="26"/>
      <c r="C33" s="26"/>
      <c r="D33" s="531" t="s">
        <v>748</v>
      </c>
      <c r="E33" s="1117">
        <f>0.8*0+1</f>
        <v>1</v>
      </c>
      <c r="F33" s="532" t="s">
        <v>739</v>
      </c>
      <c r="G33" s="530">
        <v>14</v>
      </c>
      <c r="H33" s="1119">
        <f>E33*G33</f>
        <v>14</v>
      </c>
    </row>
    <row r="34" spans="1:8">
      <c r="A34" s="26" t="s">
        <v>708</v>
      </c>
      <c r="B34" s="26"/>
      <c r="C34" s="26"/>
      <c r="D34" s="531" t="s">
        <v>748</v>
      </c>
      <c r="E34" s="1117">
        <f>0.8*0+1</f>
        <v>1</v>
      </c>
      <c r="F34" s="532" t="s">
        <v>739</v>
      </c>
      <c r="G34" s="530">
        <v>13</v>
      </c>
      <c r="H34" s="1119">
        <f>E34*G34</f>
        <v>13</v>
      </c>
    </row>
    <row r="35" spans="1:8">
      <c r="A35" s="26" t="s">
        <v>1381</v>
      </c>
      <c r="B35" s="26"/>
      <c r="C35" s="26"/>
      <c r="D35" s="531" t="s">
        <v>748</v>
      </c>
      <c r="E35" s="1117">
        <f>0.8*0+1</f>
        <v>1</v>
      </c>
      <c r="F35" s="532" t="s">
        <v>739</v>
      </c>
      <c r="G35" s="530">
        <v>13</v>
      </c>
      <c r="H35" s="1119">
        <f>E35*G35</f>
        <v>13</v>
      </c>
    </row>
    <row r="36" spans="1:8">
      <c r="A36" s="26" t="s">
        <v>709</v>
      </c>
      <c r="B36" s="26"/>
      <c r="C36" s="26"/>
      <c r="D36" s="531" t="s">
        <v>710</v>
      </c>
      <c r="E36" s="1117">
        <f>0.8*0+1</f>
        <v>1</v>
      </c>
      <c r="F36" s="532" t="s">
        <v>739</v>
      </c>
      <c r="G36" s="530">
        <v>6</v>
      </c>
      <c r="H36" s="1119">
        <f t="shared" ref="H36:H42" si="1">E36*G36</f>
        <v>6</v>
      </c>
    </row>
    <row r="37" spans="1:8">
      <c r="A37" s="26" t="s">
        <v>711</v>
      </c>
      <c r="B37" s="26"/>
      <c r="C37" s="26"/>
      <c r="D37" s="531" t="s">
        <v>712</v>
      </c>
      <c r="E37" s="1117">
        <v>0.5</v>
      </c>
      <c r="F37" s="532" t="s">
        <v>739</v>
      </c>
      <c r="G37" s="530">
        <v>3</v>
      </c>
      <c r="H37" s="1119">
        <f t="shared" si="1"/>
        <v>1.5</v>
      </c>
    </row>
    <row r="38" spans="1:8">
      <c r="A38" s="26" t="s">
        <v>1439</v>
      </c>
      <c r="B38" s="26"/>
      <c r="C38" s="26"/>
      <c r="D38" s="531" t="s">
        <v>748</v>
      </c>
      <c r="E38" s="1117">
        <v>1</v>
      </c>
      <c r="F38" s="532" t="s">
        <v>733</v>
      </c>
      <c r="G38" s="530">
        <v>6</v>
      </c>
      <c r="H38" s="1119">
        <f t="shared" si="1"/>
        <v>6</v>
      </c>
    </row>
    <row r="39" spans="1:8">
      <c r="A39" s="26" t="s">
        <v>713</v>
      </c>
      <c r="B39" s="26"/>
      <c r="C39" s="26"/>
      <c r="D39" s="531" t="s">
        <v>712</v>
      </c>
      <c r="E39" s="1117">
        <v>0.5</v>
      </c>
      <c r="F39" s="532" t="s">
        <v>739</v>
      </c>
      <c r="G39" s="530">
        <v>6</v>
      </c>
      <c r="H39" s="1119">
        <f t="shared" si="1"/>
        <v>3</v>
      </c>
    </row>
    <row r="40" spans="1:8">
      <c r="A40" s="26" t="s">
        <v>714</v>
      </c>
      <c r="B40" s="26"/>
      <c r="C40" s="26"/>
      <c r="D40" s="531" t="s">
        <v>712</v>
      </c>
      <c r="E40" s="1117">
        <v>0.5</v>
      </c>
      <c r="F40" s="532" t="s">
        <v>739</v>
      </c>
      <c r="G40" s="530">
        <v>7</v>
      </c>
      <c r="H40" s="1119">
        <f t="shared" si="1"/>
        <v>3.5</v>
      </c>
    </row>
    <row r="41" spans="1:8">
      <c r="A41" s="26" t="s">
        <v>715</v>
      </c>
      <c r="B41" s="26"/>
      <c r="C41" s="26"/>
      <c r="D41" s="531" t="s">
        <v>748</v>
      </c>
      <c r="E41" s="1117">
        <v>1</v>
      </c>
      <c r="F41" s="532" t="s">
        <v>739</v>
      </c>
      <c r="G41" s="530">
        <v>7</v>
      </c>
      <c r="H41" s="1119">
        <f t="shared" si="1"/>
        <v>7</v>
      </c>
    </row>
    <row r="42" spans="1:8">
      <c r="A42" s="26" t="s">
        <v>716</v>
      </c>
      <c r="B42" s="26"/>
      <c r="C42" s="26">
        <f>C23+C24</f>
        <v>8367</v>
      </c>
      <c r="D42" s="531" t="s">
        <v>768</v>
      </c>
      <c r="E42" s="1117">
        <f>1/10000*C42</f>
        <v>0.8367</v>
      </c>
      <c r="F42" s="532" t="s">
        <v>740</v>
      </c>
      <c r="G42" s="530">
        <v>3</v>
      </c>
      <c r="H42" s="1119">
        <f t="shared" si="1"/>
        <v>2.5101</v>
      </c>
    </row>
    <row r="43" spans="1:8">
      <c r="A43" s="26" t="s">
        <v>717</v>
      </c>
      <c r="B43" s="26"/>
      <c r="C43" s="26"/>
      <c r="D43" s="532" t="s">
        <v>718</v>
      </c>
      <c r="E43" s="1117">
        <v>0.5</v>
      </c>
      <c r="F43" s="532" t="s">
        <v>741</v>
      </c>
      <c r="G43" s="530">
        <v>7</v>
      </c>
      <c r="H43" s="1119">
        <f t="shared" ref="H43:H48" si="2">E43*G43</f>
        <v>3.5</v>
      </c>
    </row>
    <row r="44" spans="1:8">
      <c r="A44" s="26" t="s">
        <v>719</v>
      </c>
      <c r="B44" s="26" t="s">
        <v>1438</v>
      </c>
      <c r="C44" s="672">
        <f>'Свод долгосрочный '!K9</f>
        <v>1013.658175</v>
      </c>
      <c r="D44" s="532" t="s">
        <v>720</v>
      </c>
      <c r="E44" s="1117">
        <f>1/3200*C44</f>
        <v>0.31676817968750004</v>
      </c>
      <c r="F44" s="532" t="s">
        <v>742</v>
      </c>
      <c r="G44" s="530">
        <v>4</v>
      </c>
      <c r="H44" s="1119">
        <f t="shared" si="2"/>
        <v>1.2670727187500002</v>
      </c>
    </row>
    <row r="45" spans="1:8">
      <c r="A45" s="4" t="s">
        <v>721</v>
      </c>
      <c r="B45" s="26"/>
      <c r="C45" s="26">
        <f>C15+C16+C17</f>
        <v>80</v>
      </c>
      <c r="D45" s="531" t="s">
        <v>722</v>
      </c>
      <c r="E45" s="1117">
        <v>1</v>
      </c>
      <c r="F45" s="532" t="s">
        <v>743</v>
      </c>
      <c r="G45" s="530">
        <v>6</v>
      </c>
      <c r="H45" s="1119">
        <f t="shared" si="2"/>
        <v>6</v>
      </c>
    </row>
    <row r="46" spans="1:8">
      <c r="A46" s="4" t="s">
        <v>723</v>
      </c>
      <c r="B46" s="26"/>
      <c r="C46" s="26">
        <f>C17+C16*2+C15</f>
        <v>91</v>
      </c>
      <c r="D46" s="531" t="s">
        <v>724</v>
      </c>
      <c r="E46" s="1117">
        <v>0.5</v>
      </c>
      <c r="F46" s="532" t="s">
        <v>744</v>
      </c>
      <c r="G46" s="530">
        <v>6</v>
      </c>
      <c r="H46" s="1119">
        <f t="shared" si="2"/>
        <v>3</v>
      </c>
    </row>
    <row r="47" spans="1:8">
      <c r="A47" s="4" t="s">
        <v>725</v>
      </c>
      <c r="B47" s="26"/>
      <c r="C47" s="26"/>
      <c r="D47" s="532" t="s">
        <v>726</v>
      </c>
      <c r="E47" s="1117">
        <v>1</v>
      </c>
      <c r="F47" s="532" t="s">
        <v>745</v>
      </c>
      <c r="G47" s="530">
        <v>6</v>
      </c>
      <c r="H47" s="1119">
        <f t="shared" si="2"/>
        <v>6</v>
      </c>
    </row>
    <row r="48" spans="1:8">
      <c r="A48" s="4" t="s">
        <v>727</v>
      </c>
      <c r="B48" s="26"/>
      <c r="C48" s="26"/>
      <c r="D48" s="532" t="s">
        <v>769</v>
      </c>
      <c r="E48" s="1117">
        <f>0.5/5000*(C23+C24)*0</f>
        <v>0</v>
      </c>
      <c r="F48" s="532" t="s">
        <v>746</v>
      </c>
      <c r="G48" s="530">
        <v>7</v>
      </c>
      <c r="H48" s="1119">
        <f t="shared" si="2"/>
        <v>0</v>
      </c>
    </row>
    <row r="49" spans="1:8">
      <c r="A49" s="265" t="s">
        <v>760</v>
      </c>
      <c r="B49" s="26"/>
      <c r="C49" s="26"/>
      <c r="D49" s="26"/>
      <c r="E49" s="1118">
        <f>SUM(E50:E51)</f>
        <v>8</v>
      </c>
      <c r="F49" s="542"/>
      <c r="G49" s="539"/>
      <c r="H49" s="1118">
        <f>SUM(H50:H51)</f>
        <v>26</v>
      </c>
    </row>
    <row r="50" spans="1:8">
      <c r="A50" s="4" t="s">
        <v>728</v>
      </c>
      <c r="B50" s="26"/>
      <c r="C50" s="26"/>
      <c r="D50" s="26"/>
      <c r="E50" s="1117">
        <v>5</v>
      </c>
      <c r="F50" s="531"/>
      <c r="G50" s="530">
        <v>4</v>
      </c>
      <c r="H50" s="1119">
        <f>E50*G50</f>
        <v>20</v>
      </c>
    </row>
    <row r="51" spans="1:8">
      <c r="A51" s="4" t="s">
        <v>1382</v>
      </c>
      <c r="B51" s="26"/>
      <c r="C51" s="26"/>
      <c r="D51" s="26"/>
      <c r="E51" s="1117">
        <v>3</v>
      </c>
      <c r="F51" s="531"/>
      <c r="G51" s="530">
        <v>2</v>
      </c>
      <c r="H51" s="1119">
        <f>E51*G51</f>
        <v>6</v>
      </c>
    </row>
    <row r="52" spans="1:8" s="233" customFormat="1" ht="15.75" customHeight="1">
      <c r="A52" s="536" t="s">
        <v>747</v>
      </c>
      <c r="B52" s="246"/>
      <c r="C52" s="246"/>
      <c r="D52" s="246"/>
      <c r="E52" s="1329">
        <f>SUM(E31:E49)</f>
        <v>44.955855074687506</v>
      </c>
      <c r="F52" s="246"/>
      <c r="G52" s="1287">
        <f>H52/E52</f>
        <v>4.7950745000983259</v>
      </c>
      <c r="H52" s="537">
        <f>SUM(H31:H49)</f>
        <v>215.56667429874997</v>
      </c>
    </row>
    <row r="53" spans="1:8">
      <c r="E53" s="543"/>
    </row>
  </sheetData>
  <pageMargins left="0.9055118110236221" right="0.31496062992125984" top="0.35433070866141736" bottom="0.19685039370078741" header="0" footer="0"/>
  <pageSetup paperSize="9" scale="7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5">
    <tabColor indexed="22"/>
    <pageSetUpPr fitToPage="1"/>
  </sheetPr>
  <dimension ref="A1:J30"/>
  <sheetViews>
    <sheetView workbookViewId="0">
      <selection activeCell="J21" sqref="J21"/>
    </sheetView>
  </sheetViews>
  <sheetFormatPr defaultRowHeight="12.75"/>
  <cols>
    <col min="1" max="1" width="33.28515625" customWidth="1"/>
    <col min="2" max="2" width="10.7109375" customWidth="1"/>
    <col min="3" max="4" width="10.42578125" customWidth="1"/>
    <col min="6" max="6" width="31.85546875" customWidth="1"/>
  </cols>
  <sheetData>
    <row r="1" spans="1:7" ht="64.5" customHeight="1">
      <c r="A1" s="461" t="s">
        <v>676</v>
      </c>
      <c r="B1" s="461"/>
      <c r="C1" s="461"/>
      <c r="D1" s="461"/>
      <c r="E1" s="462"/>
      <c r="F1" s="1288">
        <v>22</v>
      </c>
    </row>
    <row r="3" spans="1:7" s="692" customFormat="1">
      <c r="A3" s="1565" t="s">
        <v>242</v>
      </c>
      <c r="B3" s="349">
        <v>2018</v>
      </c>
      <c r="C3" s="349">
        <v>2019</v>
      </c>
      <c r="D3" s="1566">
        <v>2020</v>
      </c>
      <c r="E3" s="1566"/>
    </row>
    <row r="4" spans="1:7" s="692" customFormat="1" ht="38.25">
      <c r="A4" s="1565"/>
      <c r="B4" s="328" t="s">
        <v>1426</v>
      </c>
      <c r="C4" s="328" t="s">
        <v>512</v>
      </c>
      <c r="D4" s="328" t="s">
        <v>513</v>
      </c>
      <c r="E4" s="328" t="s">
        <v>514</v>
      </c>
      <c r="F4" s="328" t="s">
        <v>814</v>
      </c>
    </row>
    <row r="5" spans="1:7" s="692" customFormat="1">
      <c r="A5" s="329">
        <v>1</v>
      </c>
      <c r="B5" s="330">
        <v>3</v>
      </c>
      <c r="C5" s="330">
        <v>4</v>
      </c>
      <c r="D5" s="330">
        <v>5</v>
      </c>
      <c r="E5" s="330">
        <v>6</v>
      </c>
      <c r="F5" s="702"/>
    </row>
    <row r="6" spans="1:7" s="692" customFormat="1">
      <c r="A6" s="544" t="s">
        <v>398</v>
      </c>
      <c r="B6" s="693">
        <f>SUM(B7:B13)</f>
        <v>69.397179999999992</v>
      </c>
      <c r="C6" s="693">
        <f>SUM(C7:C13)</f>
        <v>384.37099999999998</v>
      </c>
      <c r="D6" s="693">
        <f>SUM(D7:D13)</f>
        <v>0</v>
      </c>
      <c r="E6" s="693">
        <f>B6*1.047*1.03</f>
        <v>74.838612883799996</v>
      </c>
      <c r="F6" s="788"/>
      <c r="G6" s="783"/>
    </row>
    <row r="7" spans="1:7" s="692" customFormat="1">
      <c r="A7" s="212"/>
      <c r="B7" s="554"/>
      <c r="C7" s="1042">
        <v>384.37099999999998</v>
      </c>
      <c r="D7" s="556"/>
      <c r="E7" s="556"/>
      <c r="F7" s="247"/>
    </row>
    <row r="8" spans="1:7" s="692" customFormat="1">
      <c r="A8" s="212" t="s">
        <v>1448</v>
      </c>
      <c r="B8" s="556">
        <v>1.71</v>
      </c>
      <c r="C8" s="556"/>
      <c r="D8" s="556"/>
      <c r="E8" s="556"/>
      <c r="F8" s="247"/>
    </row>
    <row r="9" spans="1:7" s="692" customFormat="1">
      <c r="A9" s="332" t="s">
        <v>1449</v>
      </c>
      <c r="B9" s="556">
        <f>0.3+8.25+0.6</f>
        <v>9.15</v>
      </c>
      <c r="C9" s="556"/>
      <c r="D9" s="556"/>
      <c r="E9" s="556"/>
      <c r="F9" s="702"/>
    </row>
    <row r="10" spans="1:7" s="692" customFormat="1">
      <c r="A10" s="332" t="s">
        <v>1454</v>
      </c>
      <c r="B10" s="556">
        <f>1.5*12</f>
        <v>18</v>
      </c>
      <c r="C10" s="556"/>
      <c r="D10" s="556"/>
      <c r="E10" s="556"/>
      <c r="F10" s="702"/>
    </row>
    <row r="11" spans="1:7" s="692" customFormat="1">
      <c r="A11" s="702" t="s">
        <v>1450</v>
      </c>
      <c r="B11" s="556">
        <f>4.2+6.313</f>
        <v>10.513</v>
      </c>
      <c r="C11" s="556"/>
      <c r="D11" s="556"/>
      <c r="E11" s="556"/>
      <c r="F11" s="702"/>
    </row>
    <row r="12" spans="1:7" s="692" customFormat="1">
      <c r="A12" s="702" t="s">
        <v>1451</v>
      </c>
      <c r="B12" s="556">
        <f>0.98838+7.16371+7.16371+0.98838+4.12</f>
        <v>20.42418</v>
      </c>
      <c r="C12" s="556"/>
      <c r="D12" s="556"/>
      <c r="E12" s="556"/>
      <c r="F12" s="702"/>
    </row>
    <row r="13" spans="1:7" s="692" customFormat="1">
      <c r="A13" s="702" t="s">
        <v>1452</v>
      </c>
      <c r="B13" s="556">
        <v>9.6</v>
      </c>
      <c r="C13" s="556"/>
      <c r="D13" s="556"/>
      <c r="E13" s="556"/>
      <c r="F13" s="702"/>
    </row>
    <row r="14" spans="1:7" s="692" customFormat="1"/>
    <row r="15" spans="1:7" s="692" customFormat="1"/>
    <row r="16" spans="1:7" s="692" customFormat="1">
      <c r="A16" s="545" t="s">
        <v>677</v>
      </c>
      <c r="B16" s="545"/>
      <c r="C16" s="545"/>
      <c r="D16" s="545"/>
      <c r="E16" s="545"/>
    </row>
    <row r="17" spans="1:10" s="692" customFormat="1"/>
    <row r="18" spans="1:10" s="692" customFormat="1">
      <c r="A18" s="1565" t="s">
        <v>242</v>
      </c>
      <c r="B18" s="349">
        <v>2018</v>
      </c>
      <c r="C18" s="349">
        <v>2019</v>
      </c>
      <c r="D18" s="1566">
        <v>2020</v>
      </c>
      <c r="E18" s="1566"/>
    </row>
    <row r="19" spans="1:10" s="692" customFormat="1" ht="38.25">
      <c r="A19" s="1565"/>
      <c r="B19" s="328" t="s">
        <v>511</v>
      </c>
      <c r="C19" s="328" t="s">
        <v>512</v>
      </c>
      <c r="D19" s="328" t="s">
        <v>513</v>
      </c>
      <c r="E19" s="328" t="s">
        <v>514</v>
      </c>
      <c r="F19" s="328" t="s">
        <v>814</v>
      </c>
    </row>
    <row r="20" spans="1:10" s="692" customFormat="1">
      <c r="A20" s="329">
        <v>1</v>
      </c>
      <c r="B20" s="330">
        <v>3</v>
      </c>
      <c r="C20" s="330">
        <v>4</v>
      </c>
      <c r="D20" s="330">
        <v>5</v>
      </c>
      <c r="E20" s="330">
        <v>6</v>
      </c>
      <c r="F20" s="702"/>
    </row>
    <row r="21" spans="1:10" s="692" customFormat="1">
      <c r="A21" s="544" t="s">
        <v>398</v>
      </c>
      <c r="B21" s="703">
        <f>SUM(B22:B26)</f>
        <v>0</v>
      </c>
      <c r="C21" s="703">
        <f>SUM(C22:C26)</f>
        <v>561.14611708168002</v>
      </c>
      <c r="D21" s="703">
        <f>SUM(D22:D26)</f>
        <v>693.14112827000008</v>
      </c>
      <c r="E21" s="703">
        <f>SUM(E22:E26)</f>
        <v>693.14112827000008</v>
      </c>
      <c r="F21" s="703"/>
      <c r="G21" s="783"/>
      <c r="H21" s="692" t="s">
        <v>1455</v>
      </c>
      <c r="J21" s="692">
        <f>(E21-4*'Числ. и разряд'!E52)/'Другие прочие и подконтрольные '!E21</f>
        <v>0.74056737803516504</v>
      </c>
    </row>
    <row r="22" spans="1:10" s="692" customFormat="1">
      <c r="A22" s="674" t="s">
        <v>775</v>
      </c>
      <c r="B22" s="310"/>
      <c r="C22" s="310"/>
      <c r="D22" s="310"/>
      <c r="E22" s="310"/>
      <c r="F22" s="247"/>
    </row>
    <row r="23" spans="1:10" s="692" customFormat="1" ht="25.5">
      <c r="A23" s="674" t="s">
        <v>776</v>
      </c>
      <c r="B23" s="310"/>
      <c r="C23" s="310"/>
      <c r="D23" s="310"/>
      <c r="E23" s="310"/>
      <c r="F23" s="247"/>
    </row>
    <row r="24" spans="1:10" s="692" customFormat="1">
      <c r="A24" s="674" t="s">
        <v>772</v>
      </c>
      <c r="B24" s="310"/>
      <c r="C24" s="310">
        <v>122.79844750834661</v>
      </c>
      <c r="D24" s="310">
        <v>200</v>
      </c>
      <c r="E24" s="310">
        <f>D24</f>
        <v>200</v>
      </c>
      <c r="F24" s="247"/>
      <c r="H24" s="692">
        <f>E24/'Оплата труда'!G6</f>
        <v>4.4488087184134208</v>
      </c>
    </row>
    <row r="25" spans="1:10" s="692" customFormat="1">
      <c r="A25" s="674" t="s">
        <v>773</v>
      </c>
      <c r="B25" s="310"/>
      <c r="C25" s="310">
        <v>438.34766957333341</v>
      </c>
      <c r="D25" s="310">
        <v>493.14112827000008</v>
      </c>
      <c r="E25" s="310">
        <f>D25</f>
        <v>493.14112827000008</v>
      </c>
      <c r="F25" s="702"/>
      <c r="H25" s="692">
        <f>E25/'Оплата труда'!G6</f>
        <v>10.969452754279038</v>
      </c>
    </row>
    <row r="26" spans="1:10" s="692" customFormat="1">
      <c r="A26" s="675" t="s">
        <v>774</v>
      </c>
      <c r="B26" s="310"/>
      <c r="C26" s="310"/>
      <c r="D26" s="310"/>
      <c r="E26" s="310"/>
      <c r="F26" s="702"/>
    </row>
    <row r="30" spans="1:10">
      <c r="C30" s="1140"/>
    </row>
  </sheetData>
  <protectedRanges>
    <protectedRange sqref="B7:B13 B22:B26 D7:D13" name="Диапазон1"/>
    <protectedRange sqref="A22:A25 A7:A10" name="Диапазон1_1"/>
    <protectedRange sqref="D22:D26" name="Диапазон1_2"/>
  </protectedRanges>
  <mergeCells count="4">
    <mergeCell ref="A3:A4"/>
    <mergeCell ref="D3:E3"/>
    <mergeCell ref="A18:A19"/>
    <mergeCell ref="D18:E18"/>
  </mergeCells>
  <pageMargins left="0.70866141732283472" right="0.11811023622047245" top="0" bottom="0.74803149606299213" header="0" footer="0.31496062992125984"/>
  <pageSetup paperSize="9" scale="9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K17"/>
  <sheetViews>
    <sheetView workbookViewId="0">
      <selection sqref="A1:I1"/>
    </sheetView>
  </sheetViews>
  <sheetFormatPr defaultRowHeight="12.75"/>
  <cols>
    <col min="1" max="1" width="64" customWidth="1"/>
    <col min="2" max="2" width="10.7109375" customWidth="1"/>
    <col min="3" max="3" width="11.85546875" customWidth="1"/>
    <col min="4" max="8" width="10" customWidth="1"/>
  </cols>
  <sheetData>
    <row r="1" spans="1:11" ht="65.25" customHeight="1">
      <c r="A1" s="1597" t="s">
        <v>85</v>
      </c>
      <c r="B1" s="1597"/>
      <c r="C1" s="1597"/>
      <c r="D1" s="1597"/>
      <c r="E1" s="1597"/>
      <c r="F1" s="1597"/>
      <c r="G1" s="1597"/>
      <c r="H1" s="1597"/>
      <c r="I1" s="1289">
        <v>23</v>
      </c>
    </row>
    <row r="2" spans="1:11" ht="18.75">
      <c r="A2" s="287"/>
      <c r="B2" s="288"/>
      <c r="C2" s="288"/>
      <c r="D2" s="289"/>
      <c r="E2" s="289"/>
      <c r="F2" s="291" t="s">
        <v>547</v>
      </c>
      <c r="G2" s="280"/>
      <c r="H2" s="280"/>
      <c r="I2" s="280"/>
    </row>
    <row r="3" spans="1:11" ht="15.75">
      <c r="A3" s="1598" t="s">
        <v>266</v>
      </c>
      <c r="B3" s="350">
        <v>2018</v>
      </c>
      <c r="C3" s="350">
        <v>2019</v>
      </c>
      <c r="D3" s="1599">
        <v>2020</v>
      </c>
      <c r="E3" s="1599"/>
      <c r="F3" s="1599"/>
      <c r="G3" s="1599"/>
      <c r="H3" s="1599"/>
      <c r="I3" s="1599"/>
    </row>
    <row r="4" spans="1:11" ht="16.5" customHeight="1">
      <c r="A4" s="1598"/>
      <c r="B4" s="1598" t="s">
        <v>511</v>
      </c>
      <c r="C4" s="1598" t="s">
        <v>548</v>
      </c>
      <c r="D4" s="1600" t="s">
        <v>513</v>
      </c>
      <c r="E4" s="1600"/>
      <c r="F4" s="1600"/>
      <c r="G4" s="1601" t="s">
        <v>514</v>
      </c>
      <c r="H4" s="1601"/>
      <c r="I4" s="1601"/>
    </row>
    <row r="5" spans="1:11" ht="25.5">
      <c r="A5" s="1598"/>
      <c r="B5" s="1598"/>
      <c r="C5" s="1598"/>
      <c r="D5" s="328" t="s">
        <v>582</v>
      </c>
      <c r="E5" s="328" t="s">
        <v>577</v>
      </c>
      <c r="F5" s="328" t="s">
        <v>583</v>
      </c>
      <c r="G5" s="328" t="s">
        <v>582</v>
      </c>
      <c r="H5" s="328" t="s">
        <v>577</v>
      </c>
      <c r="I5" s="328" t="s">
        <v>583</v>
      </c>
    </row>
    <row r="6" spans="1:11">
      <c r="A6" s="338">
        <v>1</v>
      </c>
      <c r="B6" s="338">
        <v>3</v>
      </c>
      <c r="C6" s="338">
        <v>4</v>
      </c>
      <c r="D6" s="338">
        <v>5</v>
      </c>
      <c r="E6" s="338">
        <v>6</v>
      </c>
      <c r="F6" s="338">
        <v>7</v>
      </c>
      <c r="G6" s="334">
        <v>8</v>
      </c>
      <c r="H6" s="334">
        <v>9</v>
      </c>
      <c r="I6" s="334">
        <v>10</v>
      </c>
    </row>
    <row r="7" spans="1:11" s="692" customFormat="1" ht="32.25" customHeight="1">
      <c r="A7" s="544" t="s">
        <v>549</v>
      </c>
      <c r="B7" s="704">
        <f>B8*B9*12/1000</f>
        <v>0</v>
      </c>
      <c r="C7" s="704">
        <f>C8*C9*12/1000</f>
        <v>0</v>
      </c>
      <c r="D7" s="704">
        <f>D8*D9*6/1000</f>
        <v>0</v>
      </c>
      <c r="E7" s="704">
        <f>E8*E9*6/1000</f>
        <v>0</v>
      </c>
      <c r="F7" s="704">
        <f>E7+D7</f>
        <v>0</v>
      </c>
      <c r="G7" s="704">
        <f>G8*G9*6/1000</f>
        <v>0</v>
      </c>
      <c r="H7" s="704">
        <f>H8*H9*6/1000</f>
        <v>0</v>
      </c>
      <c r="I7" s="704">
        <f>G7+H7</f>
        <v>0</v>
      </c>
    </row>
    <row r="8" spans="1:11" s="692" customFormat="1" ht="32.25" customHeight="1">
      <c r="A8" s="342" t="s">
        <v>550</v>
      </c>
      <c r="B8" s="705"/>
      <c r="C8" s="705"/>
      <c r="D8" s="705"/>
      <c r="E8" s="705"/>
      <c r="F8" s="705"/>
      <c r="G8" s="705"/>
      <c r="H8" s="705"/>
      <c r="I8" s="705"/>
    </row>
    <row r="9" spans="1:11" s="692" customFormat="1" ht="49.5" customHeight="1">
      <c r="A9" s="342" t="s">
        <v>551</v>
      </c>
      <c r="B9" s="705"/>
      <c r="C9" s="705"/>
      <c r="D9" s="705"/>
      <c r="E9" s="705"/>
      <c r="F9" s="705"/>
      <c r="G9" s="428"/>
      <c r="H9" s="428"/>
      <c r="I9" s="428"/>
    </row>
    <row r="10" spans="1:11" s="692" customFormat="1" ht="32.25" customHeight="1">
      <c r="A10" s="544" t="s">
        <v>552</v>
      </c>
      <c r="B10" s="704">
        <f>B11*B14</f>
        <v>0</v>
      </c>
      <c r="C10" s="704">
        <f>C11*C14</f>
        <v>0</v>
      </c>
      <c r="D10" s="704">
        <f>D11*D14</f>
        <v>0</v>
      </c>
      <c r="E10" s="704">
        <f>E11*E14</f>
        <v>0</v>
      </c>
      <c r="F10" s="704">
        <f>D10+E10</f>
        <v>0</v>
      </c>
      <c r="G10" s="704">
        <f>G11*G14</f>
        <v>0</v>
      </c>
      <c r="H10" s="704">
        <f>H11*H14</f>
        <v>0</v>
      </c>
      <c r="I10" s="704">
        <f>G10+H10</f>
        <v>0</v>
      </c>
    </row>
    <row r="11" spans="1:11" s="692" customFormat="1" ht="32.25" customHeight="1">
      <c r="A11" s="342" t="s">
        <v>553</v>
      </c>
      <c r="B11" s="705"/>
      <c r="C11" s="705"/>
      <c r="D11" s="706"/>
      <c r="E11" s="706"/>
      <c r="F11" s="706"/>
      <c r="G11" s="707"/>
      <c r="H11" s="707"/>
      <c r="I11" s="707"/>
      <c r="J11" s="708"/>
      <c r="K11" s="708"/>
    </row>
    <row r="12" spans="1:11" s="692" customFormat="1" ht="32.25" customHeight="1">
      <c r="A12" s="332" t="s">
        <v>554</v>
      </c>
      <c r="B12" s="705"/>
      <c r="C12" s="705"/>
      <c r="D12" s="705"/>
      <c r="E12" s="705"/>
      <c r="F12" s="705"/>
      <c r="G12" s="705"/>
      <c r="H12" s="705"/>
      <c r="I12" s="705"/>
      <c r="J12" s="708"/>
      <c r="K12" s="708"/>
    </row>
    <row r="13" spans="1:11" s="692" customFormat="1" ht="59.25" customHeight="1">
      <c r="A13" s="332" t="s">
        <v>555</v>
      </c>
      <c r="B13" s="705"/>
      <c r="C13" s="705"/>
      <c r="D13" s="428"/>
      <c r="E13" s="428"/>
      <c r="F13" s="428"/>
      <c r="G13" s="428"/>
      <c r="H13" s="428"/>
      <c r="I13" s="428"/>
      <c r="J13" s="708"/>
      <c r="K13" s="708"/>
    </row>
    <row r="14" spans="1:11" s="692" customFormat="1" ht="42.75" customHeight="1">
      <c r="A14" s="342" t="s">
        <v>556</v>
      </c>
      <c r="B14" s="705"/>
      <c r="C14" s="705"/>
      <c r="D14" s="428"/>
      <c r="E14" s="428"/>
      <c r="F14" s="428"/>
      <c r="G14" s="428"/>
      <c r="H14" s="428"/>
      <c r="I14" s="428"/>
      <c r="J14" s="708"/>
      <c r="K14" s="708"/>
    </row>
    <row r="15" spans="1:11" s="692" customFormat="1" ht="32.25" customHeight="1">
      <c r="A15" s="544" t="s">
        <v>557</v>
      </c>
      <c r="B15" s="704">
        <f>B7+B10</f>
        <v>0</v>
      </c>
      <c r="C15" s="704">
        <f>C7+C10</f>
        <v>0</v>
      </c>
      <c r="D15" s="704">
        <f t="shared" ref="D15:I15" si="0">D7+D10</f>
        <v>0</v>
      </c>
      <c r="E15" s="704">
        <f>E7+E10</f>
        <v>0</v>
      </c>
      <c r="F15" s="704">
        <f t="shared" si="0"/>
        <v>0</v>
      </c>
      <c r="G15" s="704">
        <f t="shared" si="0"/>
        <v>0</v>
      </c>
      <c r="H15" s="704">
        <f t="shared" si="0"/>
        <v>0</v>
      </c>
      <c r="I15" s="704">
        <f t="shared" si="0"/>
        <v>0</v>
      </c>
    </row>
    <row r="16" spans="1:11" s="692" customFormat="1">
      <c r="A16" s="874" t="s">
        <v>777</v>
      </c>
      <c r="B16" s="709"/>
      <c r="C16" s="702"/>
      <c r="D16" s="702"/>
      <c r="E16" s="702"/>
      <c r="F16" s="702"/>
      <c r="G16" s="702"/>
      <c r="H16" s="702"/>
      <c r="I16" s="702"/>
    </row>
    <row r="17" spans="1:9" s="692" customFormat="1">
      <c r="A17" s="544" t="s">
        <v>939</v>
      </c>
      <c r="B17" s="709">
        <f>B15+B16</f>
        <v>0</v>
      </c>
      <c r="C17" s="709">
        <f t="shared" ref="C17:I17" si="1">C15+C16</f>
        <v>0</v>
      </c>
      <c r="D17" s="709">
        <f t="shared" si="1"/>
        <v>0</v>
      </c>
      <c r="E17" s="709">
        <f t="shared" si="1"/>
        <v>0</v>
      </c>
      <c r="F17" s="709">
        <f t="shared" si="1"/>
        <v>0</v>
      </c>
      <c r="G17" s="709">
        <f t="shared" si="1"/>
        <v>0</v>
      </c>
      <c r="H17" s="709">
        <f t="shared" si="1"/>
        <v>0</v>
      </c>
      <c r="I17" s="709">
        <f t="shared" si="1"/>
        <v>0</v>
      </c>
    </row>
  </sheetData>
  <protectedRanges>
    <protectedRange sqref="G9:I11 G13:I14 B7:I7 B10:C10 D8:F14" name="Диапазон1"/>
    <protectedRange sqref="A7:A14" name="Диапазон1_1"/>
  </protectedRanges>
  <mergeCells count="7">
    <mergeCell ref="A1:H1"/>
    <mergeCell ref="A3:A5"/>
    <mergeCell ref="D3:I3"/>
    <mergeCell ref="B4:B5"/>
    <mergeCell ref="C4:C5"/>
    <mergeCell ref="D4:F4"/>
    <mergeCell ref="G4:I4"/>
  </mergeCells>
  <pageMargins left="0.9055118110236221" right="0" top="0" bottom="0.74803149606299213" header="0" footer="0.31496062992125984"/>
  <pageSetup paperSize="9" scale="6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N37"/>
  <sheetViews>
    <sheetView topLeftCell="A4" workbookViewId="0">
      <selection activeCell="I29" sqref="I29"/>
    </sheetView>
  </sheetViews>
  <sheetFormatPr defaultRowHeight="12.75"/>
  <cols>
    <col min="1" max="1" width="48.5703125" customWidth="1"/>
    <col min="2" max="2" width="10.7109375" customWidth="1"/>
    <col min="3" max="4" width="10.7109375" style="1406" customWidth="1"/>
    <col min="5" max="5" width="10.7109375" customWidth="1"/>
    <col min="6" max="7" width="10.7109375" hidden="1" customWidth="1"/>
    <col min="8" max="9" width="10.7109375" customWidth="1"/>
  </cols>
  <sheetData>
    <row r="1" spans="1:14" ht="59.25" customHeight="1">
      <c r="A1" s="1597" t="s">
        <v>510</v>
      </c>
      <c r="B1" s="1597"/>
      <c r="C1" s="1597"/>
      <c r="D1" s="1597"/>
      <c r="E1" s="1597"/>
      <c r="F1" s="1597"/>
      <c r="G1" s="1597"/>
      <c r="H1" s="1274"/>
    </row>
    <row r="2" spans="1:14" ht="18.75">
      <c r="A2" s="287"/>
      <c r="B2" s="288"/>
      <c r="C2" s="288"/>
      <c r="D2" s="288"/>
      <c r="E2" s="288"/>
      <c r="F2" s="289" t="s">
        <v>533</v>
      </c>
      <c r="G2" s="290"/>
    </row>
    <row r="3" spans="1:14">
      <c r="A3" s="1565" t="s">
        <v>242</v>
      </c>
      <c r="B3" s="349">
        <v>2018</v>
      </c>
      <c r="C3" s="1605">
        <v>2019</v>
      </c>
      <c r="D3" s="1606"/>
      <c r="E3" s="349">
        <v>2019</v>
      </c>
      <c r="F3" s="1566">
        <v>2020</v>
      </c>
      <c r="G3" s="1566"/>
      <c r="H3" s="1566">
        <v>2021</v>
      </c>
      <c r="I3" s="1566"/>
      <c r="N3" t="s">
        <v>1509</v>
      </c>
    </row>
    <row r="4" spans="1:14" ht="39" customHeight="1">
      <c r="A4" s="1565"/>
      <c r="B4" s="328" t="s">
        <v>511</v>
      </c>
      <c r="C4" s="1405" t="s">
        <v>1477</v>
      </c>
      <c r="D4" s="1405" t="s">
        <v>1426</v>
      </c>
      <c r="E4" s="328" t="s">
        <v>512</v>
      </c>
      <c r="F4" s="328" t="s">
        <v>513</v>
      </c>
      <c r="G4" s="328" t="s">
        <v>514</v>
      </c>
      <c r="H4" s="1405" t="s">
        <v>513</v>
      </c>
      <c r="I4" s="1405" t="s">
        <v>514</v>
      </c>
      <c r="N4">
        <f>44417/61463</f>
        <v>0.72266241478613147</v>
      </c>
    </row>
    <row r="5" spans="1:14">
      <c r="A5" s="329">
        <v>1</v>
      </c>
      <c r="B5" s="330">
        <v>3</v>
      </c>
      <c r="C5" s="330"/>
      <c r="D5" s="330"/>
      <c r="E5" s="330">
        <v>4</v>
      </c>
      <c r="F5" s="330">
        <v>5</v>
      </c>
      <c r="G5" s="330">
        <v>6</v>
      </c>
      <c r="H5" s="330">
        <v>5</v>
      </c>
      <c r="I5" s="330">
        <v>6</v>
      </c>
    </row>
    <row r="6" spans="1:14" s="692" customFormat="1" ht="18" customHeight="1">
      <c r="A6" s="544" t="s">
        <v>515</v>
      </c>
      <c r="B6" s="703">
        <f t="shared" ref="B6:I6" si="0">B7+B15+B21+B27</f>
        <v>76</v>
      </c>
      <c r="C6" s="703">
        <f t="shared" si="0"/>
        <v>76.8</v>
      </c>
      <c r="D6" s="703">
        <f t="shared" si="0"/>
        <v>64.53732877226949</v>
      </c>
      <c r="E6" s="703">
        <f t="shared" si="0"/>
        <v>0</v>
      </c>
      <c r="F6" s="703">
        <f t="shared" si="0"/>
        <v>88.172000000000011</v>
      </c>
      <c r="G6" s="703">
        <f t="shared" si="0"/>
        <v>0</v>
      </c>
      <c r="H6" s="703">
        <f t="shared" si="0"/>
        <v>104.9174414</v>
      </c>
      <c r="I6" s="703">
        <f t="shared" si="0"/>
        <v>73.617123086956923</v>
      </c>
    </row>
    <row r="7" spans="1:14" s="692" customFormat="1" ht="18" customHeight="1">
      <c r="A7" s="331" t="s">
        <v>516</v>
      </c>
      <c r="B7" s="710">
        <f t="shared" ref="B7:I7" si="1">SUM(B8:B13)</f>
        <v>20</v>
      </c>
      <c r="C7" s="710">
        <f t="shared" si="1"/>
        <v>20.8</v>
      </c>
      <c r="D7" s="710">
        <f t="shared" si="1"/>
        <v>20.8</v>
      </c>
      <c r="E7" s="710">
        <f t="shared" si="1"/>
        <v>0</v>
      </c>
      <c r="F7" s="710">
        <f t="shared" si="1"/>
        <v>21.632000000000001</v>
      </c>
      <c r="G7" s="710">
        <f t="shared" si="1"/>
        <v>0</v>
      </c>
      <c r="H7" s="710">
        <f t="shared" si="1"/>
        <v>22.497280000000003</v>
      </c>
      <c r="I7" s="710">
        <f t="shared" si="1"/>
        <v>22.497280000000003</v>
      </c>
    </row>
    <row r="8" spans="1:14" s="692" customFormat="1" ht="26.1" customHeight="1">
      <c r="A8" s="332" t="s">
        <v>1389</v>
      </c>
      <c r="B8" s="310">
        <v>20</v>
      </c>
      <c r="C8" s="310">
        <v>20.8</v>
      </c>
      <c r="D8" s="310">
        <f>(92123.87/(13705+866)*450+81709.64/(11820+602)*339+73149.14/(10744+569)*322+114686.12/(16548+619)*372+136392.34/(541+21164)*426+4142.52/(80+529)*366+4648.85/627*400+7584.08/1002*400+4769.51/(505+120)*300+4513.99/593*400+6111.17/(679+160)*400+6642.66/885*400)*N4/1000*0+C8</f>
        <v>20.8</v>
      </c>
      <c r="E8" s="711"/>
      <c r="F8" s="310">
        <f>B8*1.04*1.04</f>
        <v>21.632000000000001</v>
      </c>
      <c r="G8" s="310"/>
      <c r="H8" s="310">
        <v>22.497280000000003</v>
      </c>
      <c r="I8" s="310">
        <f>D8*1.056*1.056*0+H8</f>
        <v>22.497280000000003</v>
      </c>
      <c r="K8" s="692" t="s">
        <v>1491</v>
      </c>
    </row>
    <row r="9" spans="1:14" s="692" customFormat="1" ht="26.1" customHeight="1">
      <c r="A9" s="332" t="s">
        <v>517</v>
      </c>
      <c r="B9" s="298"/>
      <c r="C9" s="298"/>
      <c r="D9" s="298"/>
      <c r="E9" s="711"/>
      <c r="F9" s="310"/>
      <c r="G9" s="310"/>
      <c r="H9" s="310"/>
      <c r="I9" s="310"/>
    </row>
    <row r="10" spans="1:14" s="692" customFormat="1" ht="26.1" customHeight="1">
      <c r="A10" s="332" t="s">
        <v>517</v>
      </c>
      <c r="B10" s="310"/>
      <c r="C10" s="310"/>
      <c r="D10" s="310"/>
      <c r="E10" s="711"/>
      <c r="F10" s="310"/>
      <c r="G10" s="310"/>
      <c r="H10" s="310"/>
      <c r="I10" s="310"/>
    </row>
    <row r="11" spans="1:14" s="692" customFormat="1" ht="26.1" hidden="1" customHeight="1">
      <c r="A11" s="332" t="s">
        <v>517</v>
      </c>
      <c r="B11" s="310"/>
      <c r="C11" s="310"/>
      <c r="D11" s="310"/>
      <c r="E11" s="711"/>
      <c r="F11" s="310"/>
      <c r="G11" s="310"/>
    </row>
    <row r="12" spans="1:14" s="692" customFormat="1" ht="26.1" hidden="1" customHeight="1">
      <c r="A12" s="332" t="s">
        <v>517</v>
      </c>
      <c r="B12" s="310"/>
      <c r="C12" s="310"/>
      <c r="D12" s="310"/>
      <c r="E12" s="711"/>
      <c r="F12" s="310"/>
      <c r="G12" s="310"/>
    </row>
    <row r="13" spans="1:14" s="692" customFormat="1" ht="26.1" hidden="1" customHeight="1">
      <c r="A13" s="332" t="s">
        <v>517</v>
      </c>
      <c r="B13" s="310"/>
      <c r="C13" s="310"/>
      <c r="D13" s="310"/>
      <c r="E13" s="711"/>
      <c r="F13" s="310"/>
      <c r="G13" s="310"/>
    </row>
    <row r="14" spans="1:14" s="692" customFormat="1" ht="18" customHeight="1">
      <c r="A14" s="1603"/>
      <c r="B14" s="1604"/>
      <c r="C14" s="1604"/>
      <c r="D14" s="1604"/>
      <c r="E14" s="1604"/>
      <c r="F14" s="1604"/>
      <c r="G14" s="1604"/>
    </row>
    <row r="15" spans="1:14" s="692" customFormat="1" ht="18" customHeight="1">
      <c r="A15" s="331" t="s">
        <v>518</v>
      </c>
      <c r="B15" s="710">
        <f>SUM(B16:B19)</f>
        <v>0</v>
      </c>
      <c r="C15" s="710"/>
      <c r="D15" s="710">
        <v>0</v>
      </c>
      <c r="E15" s="710">
        <f>SUM(E16:E19)</f>
        <v>0</v>
      </c>
      <c r="F15" s="710">
        <f>SUM(F16:F19)</f>
        <v>0</v>
      </c>
      <c r="G15" s="710">
        <f>SUM(G16:G19)</f>
        <v>0</v>
      </c>
      <c r="H15" s="710">
        <f>SUM(H16:H19)</f>
        <v>0</v>
      </c>
      <c r="I15" s="710">
        <f>SUM(I16:I19)</f>
        <v>0</v>
      </c>
    </row>
    <row r="16" spans="1:14" s="692" customFormat="1" ht="26.1" customHeight="1">
      <c r="A16" s="332" t="s">
        <v>517</v>
      </c>
      <c r="B16" s="795"/>
      <c r="C16" s="795"/>
      <c r="D16" s="795"/>
      <c r="E16" s="711"/>
      <c r="F16" s="795"/>
      <c r="G16" s="310"/>
      <c r="H16" s="795"/>
      <c r="I16" s="310"/>
    </row>
    <row r="17" spans="1:9" s="692" customFormat="1" ht="26.1" customHeight="1">
      <c r="A17" s="332" t="s">
        <v>517</v>
      </c>
      <c r="B17" s="796"/>
      <c r="C17" s="796"/>
      <c r="D17" s="796"/>
      <c r="E17" s="711"/>
      <c r="F17" s="796"/>
      <c r="G17" s="310"/>
      <c r="H17" s="796"/>
      <c r="I17" s="310"/>
    </row>
    <row r="18" spans="1:9" s="692" customFormat="1" ht="26.1" customHeight="1">
      <c r="A18" s="332" t="s">
        <v>517</v>
      </c>
      <c r="B18" s="796"/>
      <c r="C18" s="796"/>
      <c r="D18" s="796"/>
      <c r="E18" s="711"/>
      <c r="F18" s="796"/>
      <c r="G18" s="310"/>
      <c r="H18" s="796"/>
      <c r="I18" s="310"/>
    </row>
    <row r="19" spans="1:9" s="692" customFormat="1" ht="26.1" customHeight="1">
      <c r="A19" s="332" t="s">
        <v>517</v>
      </c>
      <c r="B19" s="310"/>
      <c r="C19" s="310"/>
      <c r="D19" s="310"/>
      <c r="E19" s="711"/>
      <c r="F19" s="310"/>
      <c r="G19" s="310"/>
      <c r="H19" s="310"/>
      <c r="I19" s="310"/>
    </row>
    <row r="20" spans="1:9" s="692" customFormat="1" ht="18" customHeight="1">
      <c r="A20" s="1603"/>
      <c r="B20" s="1604"/>
      <c r="C20" s="1604"/>
      <c r="D20" s="1604"/>
      <c r="E20" s="1604"/>
      <c r="F20" s="1604"/>
      <c r="G20" s="1604"/>
    </row>
    <row r="21" spans="1:9" s="692" customFormat="1" ht="18" customHeight="1">
      <c r="A21" s="331" t="s">
        <v>519</v>
      </c>
      <c r="B21" s="710">
        <f>SUM(B22:B25)</f>
        <v>0</v>
      </c>
      <c r="C21" s="710"/>
      <c r="D21" s="710">
        <f t="shared" ref="D21:I21" si="2">SUM(D22:D25)</f>
        <v>0</v>
      </c>
      <c r="E21" s="710">
        <f t="shared" si="2"/>
        <v>0</v>
      </c>
      <c r="F21" s="710">
        <f t="shared" si="2"/>
        <v>4.8</v>
      </c>
      <c r="G21" s="710">
        <f t="shared" si="2"/>
        <v>0</v>
      </c>
      <c r="H21" s="710">
        <f t="shared" si="2"/>
        <v>4.8</v>
      </c>
      <c r="I21" s="710">
        <f t="shared" si="2"/>
        <v>4.8</v>
      </c>
    </row>
    <row r="22" spans="1:9" s="692" customFormat="1" ht="26.1" customHeight="1">
      <c r="A22" s="332" t="s">
        <v>517</v>
      </c>
      <c r="B22" s="310"/>
      <c r="C22" s="310"/>
      <c r="D22" s="310">
        <v>0</v>
      </c>
      <c r="E22" s="711"/>
      <c r="F22" s="310">
        <v>4.8</v>
      </c>
      <c r="G22" s="310"/>
      <c r="H22" s="310">
        <v>4.8</v>
      </c>
      <c r="I22" s="310">
        <f>(9.66+7.0725)*N4*1.036*0+H22</f>
        <v>4.8</v>
      </c>
    </row>
    <row r="23" spans="1:9" s="692" customFormat="1" ht="26.1" hidden="1" customHeight="1">
      <c r="A23" s="332" t="s">
        <v>517</v>
      </c>
      <c r="B23" s="310"/>
      <c r="C23" s="310"/>
      <c r="D23" s="310"/>
      <c r="E23" s="711"/>
      <c r="F23" s="310"/>
      <c r="G23" s="310"/>
    </row>
    <row r="24" spans="1:9" s="692" customFormat="1" ht="26.1" hidden="1" customHeight="1">
      <c r="A24" s="332" t="s">
        <v>517</v>
      </c>
      <c r="B24" s="310"/>
      <c r="C24" s="310"/>
      <c r="D24" s="310"/>
      <c r="E24" s="711"/>
      <c r="F24" s="310"/>
      <c r="G24" s="310"/>
    </row>
    <row r="25" spans="1:9" s="692" customFormat="1" ht="26.1" hidden="1" customHeight="1">
      <c r="A25" s="332" t="s">
        <v>517</v>
      </c>
      <c r="B25" s="310"/>
      <c r="C25" s="310"/>
      <c r="D25" s="310"/>
      <c r="E25" s="711"/>
      <c r="F25" s="310"/>
      <c r="G25" s="310"/>
    </row>
    <row r="26" spans="1:9" s="692" customFormat="1" ht="18" customHeight="1">
      <c r="A26" s="1603"/>
      <c r="B26" s="1604"/>
      <c r="C26" s="1604"/>
      <c r="D26" s="1604"/>
      <c r="E26" s="1604"/>
      <c r="F26" s="1604"/>
      <c r="G26" s="1604"/>
    </row>
    <row r="27" spans="1:9" s="692" customFormat="1" ht="38.25" customHeight="1">
      <c r="A27" s="331" t="s">
        <v>520</v>
      </c>
      <c r="B27" s="710">
        <f>SUM(B29:B36)</f>
        <v>56</v>
      </c>
      <c r="C27" s="710">
        <f>SUM(C29:C33)</f>
        <v>56</v>
      </c>
      <c r="D27" s="710">
        <f>SUM(D29:D36)</f>
        <v>43.737328772269493</v>
      </c>
      <c r="E27" s="710">
        <f>SUM(E29:E33)</f>
        <v>0</v>
      </c>
      <c r="F27" s="710">
        <f>SUM(F29:F36)</f>
        <v>61.740000000000009</v>
      </c>
      <c r="G27" s="710">
        <f>SUM(G29:G33)</f>
        <v>0</v>
      </c>
      <c r="H27" s="710">
        <f>SUM(H29:H36)</f>
        <v>77.620161400000001</v>
      </c>
      <c r="I27" s="710">
        <f>SUM(I29:I33)</f>
        <v>46.319843086956915</v>
      </c>
    </row>
    <row r="28" spans="1:9" s="692" customFormat="1" ht="38.25" customHeight="1">
      <c r="A28" s="331" t="s">
        <v>778</v>
      </c>
      <c r="B28" s="712"/>
      <c r="C28" s="712"/>
      <c r="D28" s="712"/>
      <c r="E28" s="710"/>
      <c r="F28" s="710"/>
      <c r="G28" s="710"/>
      <c r="H28" s="710"/>
      <c r="I28" s="710"/>
    </row>
    <row r="29" spans="1:9" s="692" customFormat="1" ht="26.1" customHeight="1">
      <c r="A29" s="332" t="s">
        <v>836</v>
      </c>
      <c r="B29" s="298">
        <f>56</f>
        <v>56</v>
      </c>
      <c r="C29" s="298">
        <v>56</v>
      </c>
      <c r="D29" s="298">
        <f>(7908.3+1974.71+497.81+1852.28+54.46+211.42+43.12+5109.62+1795.2+452.44+1196.77+49.5+136.6+9.79+27.86+5534.44+1598.84+403.5+1297.71+44.15+148.12+8.73+2339.68+99.84+598.6+475.35+23.71+141.11+120.21+72.9+14.99+12.7+0.55+3.25+2.6+633.48+1009.31+235.36+160.21+26.86+17.53+5.48+3.47+491.17+322.61+114.24+81.18+13.04+8.88+2.66+1.76+1158.98+265.09+30.26+6.36+1173.52+48.18+11.94+268.41+1.31+30.64+0.27+6.44+2422.41+803.04+555.68+199.36+63.43+21.81+13.34+4.45+1146.7+3898.34+898.41+284.12+102.55+31.09+21.56+6.34+5654.99+1431.49+354.55+1961.43+38.79+179.92+7.91+31.28)/1000*N4</f>
        <v>43.737328772269493</v>
      </c>
      <c r="E29" s="711"/>
      <c r="F29" s="310">
        <f>B29*1.05*1.05</f>
        <v>61.740000000000009</v>
      </c>
      <c r="G29" s="310"/>
      <c r="H29" s="310">
        <v>77.620161400000001</v>
      </c>
      <c r="I29" s="310">
        <f>D29*1.0282*1.03</f>
        <v>46.319843086956915</v>
      </c>
    </row>
    <row r="30" spans="1:9" s="692" customFormat="1" ht="26.1" hidden="1" customHeight="1">
      <c r="A30" s="332" t="s">
        <v>836</v>
      </c>
      <c r="B30" s="796"/>
      <c r="C30" s="796"/>
      <c r="D30" s="796"/>
      <c r="E30" s="711"/>
      <c r="F30" s="796"/>
      <c r="G30" s="310"/>
    </row>
    <row r="31" spans="1:9" s="692" customFormat="1" ht="26.1" hidden="1" customHeight="1">
      <c r="A31" s="332" t="s">
        <v>836</v>
      </c>
      <c r="B31" s="796"/>
      <c r="C31" s="796"/>
      <c r="D31" s="796"/>
      <c r="E31" s="711"/>
      <c r="F31" s="796"/>
      <c r="G31" s="310"/>
    </row>
    <row r="32" spans="1:9" s="692" customFormat="1" ht="26.1" hidden="1" customHeight="1">
      <c r="A32" s="332" t="s">
        <v>836</v>
      </c>
      <c r="B32" s="796"/>
      <c r="C32" s="796"/>
      <c r="D32" s="796"/>
      <c r="E32" s="711"/>
      <c r="F32" s="796"/>
      <c r="G32" s="310"/>
    </row>
    <row r="33" spans="1:9" s="692" customFormat="1" ht="26.1" hidden="1" customHeight="1">
      <c r="A33" s="332" t="s">
        <v>779</v>
      </c>
      <c r="B33" s="310"/>
      <c r="C33" s="310"/>
      <c r="D33" s="310"/>
      <c r="E33" s="711"/>
      <c r="F33" s="310"/>
      <c r="G33" s="310"/>
    </row>
    <row r="34" spans="1:9" s="692" customFormat="1" ht="26.1" hidden="1" customHeight="1">
      <c r="A34" s="332" t="s">
        <v>771</v>
      </c>
      <c r="B34" s="310"/>
      <c r="C34" s="310"/>
      <c r="D34" s="310"/>
      <c r="E34" s="711"/>
      <c r="F34" s="310"/>
      <c r="G34" s="310"/>
    </row>
    <row r="35" spans="1:9" s="692" customFormat="1" ht="26.1" hidden="1" customHeight="1">
      <c r="A35" s="332" t="s">
        <v>780</v>
      </c>
      <c r="B35" s="310"/>
      <c r="C35" s="310"/>
      <c r="D35" s="310"/>
      <c r="E35" s="711"/>
      <c r="F35" s="310"/>
      <c r="G35" s="310"/>
    </row>
    <row r="36" spans="1:9" s="692" customFormat="1" ht="26.1" hidden="1" customHeight="1">
      <c r="A36" s="1411" t="s">
        <v>770</v>
      </c>
      <c r="B36" s="1412"/>
      <c r="C36" s="1412"/>
      <c r="D36" s="1412"/>
      <c r="E36" s="1413"/>
      <c r="F36" s="1412"/>
      <c r="G36" s="1412"/>
    </row>
    <row r="37" spans="1:9">
      <c r="A37" s="1602"/>
      <c r="B37" s="1602"/>
      <c r="C37" s="1602"/>
      <c r="D37" s="1602"/>
      <c r="E37" s="1602"/>
      <c r="F37" s="1602"/>
      <c r="G37" s="1602"/>
      <c r="H37" s="1602"/>
      <c r="I37" s="1602"/>
    </row>
  </sheetData>
  <protectedRanges>
    <protectedRange sqref="B8:D13 F9:F13 B16:D19 F19 B29:D36 F29 B22:D25 F22:F25 H9:H10 H19 H22 H29" name="Диапазон1"/>
    <protectedRange sqref="A16:A19 A9:A13 A22:A25 A29:A36" name="Диапазон1_1"/>
    <protectedRange sqref="F8 H8" name="Диапазон1_2"/>
    <protectedRange sqref="F16:F18 H16:H18" name="Диапазон1_3"/>
    <protectedRange sqref="F30:F36" name="Диапазон1_5"/>
    <protectedRange sqref="A8" name="Диапазон1_1_1"/>
  </protectedRanges>
  <mergeCells count="9">
    <mergeCell ref="H3:I3"/>
    <mergeCell ref="A37:I37"/>
    <mergeCell ref="A26:G26"/>
    <mergeCell ref="A1:G1"/>
    <mergeCell ref="A3:A4"/>
    <mergeCell ref="F3:G3"/>
    <mergeCell ref="A14:G14"/>
    <mergeCell ref="A20:G20"/>
    <mergeCell ref="C3:D3"/>
  </mergeCells>
  <pageMargins left="0.9055118110236221" right="0" top="0.19685039370078741" bottom="0.74803149606299213" header="0" footer="0.31496062992125984"/>
  <pageSetup paperSize="9" scale="9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V87"/>
  <sheetViews>
    <sheetView topLeftCell="H37" workbookViewId="0">
      <selection activeCell="W37" sqref="W1:W1048576"/>
    </sheetView>
  </sheetViews>
  <sheetFormatPr defaultRowHeight="18.75"/>
  <cols>
    <col min="1" max="1" width="6.85546875" style="233" customWidth="1"/>
    <col min="2" max="2" width="28.42578125" style="233" customWidth="1"/>
    <col min="3" max="3" width="15.7109375" style="233" customWidth="1"/>
    <col min="4" max="4" width="18" style="233" customWidth="1"/>
    <col min="5" max="5" width="25.85546875" style="233" customWidth="1"/>
    <col min="6" max="6" width="15.85546875" style="233" customWidth="1"/>
    <col min="7" max="7" width="15.28515625" style="233" customWidth="1"/>
    <col min="8" max="9" width="15.7109375" style="233" customWidth="1"/>
    <col min="10" max="10" width="15.7109375" style="1321" customWidth="1"/>
    <col min="11" max="12" width="15.7109375" style="1403" customWidth="1"/>
    <col min="13" max="21" width="15.7109375" style="233" customWidth="1"/>
    <col min="22" max="16384" width="9.140625" style="233"/>
  </cols>
  <sheetData>
    <row r="1" spans="1:22" ht="18.75" customHeight="1">
      <c r="A1" s="460" t="s">
        <v>591</v>
      </c>
      <c r="B1" s="1106"/>
      <c r="D1" s="1106"/>
      <c r="F1" s="1106"/>
      <c r="G1" s="1106"/>
      <c r="H1" s="1106"/>
    </row>
    <row r="3" spans="1:22" ht="15" customHeight="1">
      <c r="A3" s="1609" t="s">
        <v>637</v>
      </c>
      <c r="B3" s="1609" t="s">
        <v>645</v>
      </c>
      <c r="C3" s="1611" t="s">
        <v>640</v>
      </c>
      <c r="D3" s="1609" t="s">
        <v>642</v>
      </c>
      <c r="E3" s="1609" t="s">
        <v>644</v>
      </c>
      <c r="F3" s="1609" t="s">
        <v>638</v>
      </c>
      <c r="G3" s="1609" t="s">
        <v>643</v>
      </c>
      <c r="H3" s="1609" t="s">
        <v>639</v>
      </c>
      <c r="I3" s="1609" t="s">
        <v>940</v>
      </c>
      <c r="J3" s="1609" t="s">
        <v>1446</v>
      </c>
      <c r="K3" s="1611">
        <v>2019</v>
      </c>
      <c r="L3" s="1611"/>
      <c r="M3" s="1612" t="s">
        <v>1479</v>
      </c>
      <c r="N3" s="1608" t="s">
        <v>942</v>
      </c>
      <c r="O3" s="1608"/>
      <c r="P3" s="1608"/>
      <c r="Q3" s="1608"/>
      <c r="R3" s="1608"/>
      <c r="S3" s="1608"/>
      <c r="T3" s="1608"/>
      <c r="U3" s="1608"/>
      <c r="V3" s="1440" t="s">
        <v>1510</v>
      </c>
    </row>
    <row r="4" spans="1:22" ht="93.75">
      <c r="A4" s="1610"/>
      <c r="B4" s="1610"/>
      <c r="C4" s="1611"/>
      <c r="D4" s="1610"/>
      <c r="E4" s="1610"/>
      <c r="F4" s="1610"/>
      <c r="G4" s="1610"/>
      <c r="H4" s="1610"/>
      <c r="I4" s="1610"/>
      <c r="J4" s="1610"/>
      <c r="K4" s="1404" t="s">
        <v>1477</v>
      </c>
      <c r="L4" s="1404" t="s">
        <v>1478</v>
      </c>
      <c r="M4" s="1613"/>
      <c r="N4" s="1178" t="s">
        <v>633</v>
      </c>
      <c r="O4" s="1178" t="s">
        <v>641</v>
      </c>
      <c r="P4" s="1179" t="s">
        <v>634</v>
      </c>
      <c r="Q4" s="1180" t="s">
        <v>635</v>
      </c>
      <c r="R4" s="1180" t="s">
        <v>943</v>
      </c>
      <c r="S4" s="1180" t="s">
        <v>944</v>
      </c>
      <c r="T4" s="1181" t="s">
        <v>452</v>
      </c>
      <c r="U4" s="1182" t="s">
        <v>636</v>
      </c>
      <c r="V4" s="1440" t="s">
        <v>1511</v>
      </c>
    </row>
    <row r="5" spans="1:22" s="1224" customFormat="1">
      <c r="A5" s="1183"/>
      <c r="B5" s="1184" t="s">
        <v>592</v>
      </c>
      <c r="C5" s="1183"/>
      <c r="D5" s="536"/>
      <c r="E5" s="1183"/>
      <c r="F5" s="1183"/>
      <c r="G5" s="1183"/>
      <c r="H5" s="1183"/>
      <c r="I5" s="1185" t="e">
        <f>SUM(I6:I45)/1000</f>
        <v>#REF!</v>
      </c>
      <c r="J5" s="1185">
        <v>0</v>
      </c>
      <c r="K5" s="1185"/>
      <c r="L5" s="1185">
        <f>((218.06+20.97+1590.66+168+158.89+136.86+126.13+131.19+173.17+12.35+48.66+164.66+123.8+178.38+125.67+121.42+28.51+45.01+258.01+153.77+31.24+87.06+499.45+92.33+99.96+66.65+4.16+81.1+184.52+249.68+139.96+108.86+310.43+826.06+296.48+431.62+256.29+344.44+11159.63+6695.78)*12+8612.3)/1000</f>
        <v>320.01074</v>
      </c>
      <c r="M5" s="1185"/>
      <c r="N5" s="1183"/>
      <c r="O5" s="1183"/>
      <c r="P5" s="1186"/>
      <c r="Q5" s="1187"/>
      <c r="R5" s="1187"/>
      <c r="S5" s="1252"/>
      <c r="T5" s="1255">
        <f>SUM(T6:T30)</f>
        <v>0</v>
      </c>
      <c r="U5" s="1188"/>
      <c r="V5" s="1442">
        <v>311.39834999999999</v>
      </c>
    </row>
    <row r="6" spans="1:22" ht="52.5" customHeight="1">
      <c r="A6" s="1189" t="s">
        <v>627</v>
      </c>
      <c r="B6" s="1190" t="s">
        <v>1288</v>
      </c>
      <c r="C6" s="1191" t="s">
        <v>1289</v>
      </c>
      <c r="D6" s="1192" t="s">
        <v>1290</v>
      </c>
      <c r="E6" s="1193" t="s">
        <v>1291</v>
      </c>
      <c r="F6" s="1192" t="s">
        <v>1292</v>
      </c>
      <c r="G6" s="1192" t="s">
        <v>1293</v>
      </c>
      <c r="H6" s="1190" t="s">
        <v>1294</v>
      </c>
      <c r="I6" s="1194" t="e">
        <f>#REF!/1000</f>
        <v>#REF!</v>
      </c>
      <c r="J6" s="1194"/>
      <c r="K6" s="1194"/>
      <c r="L6" s="1194"/>
      <c r="M6" s="1194"/>
      <c r="N6" s="1195">
        <v>15670</v>
      </c>
      <c r="O6" s="1195">
        <v>15</v>
      </c>
      <c r="P6" s="1196">
        <f>N6/O6</f>
        <v>1044.6666666666667</v>
      </c>
      <c r="Q6" s="1197">
        <v>12</v>
      </c>
      <c r="R6" s="1196">
        <f>N6-N6/(O6*12)*Q6</f>
        <v>14625.333333333334</v>
      </c>
      <c r="S6" s="1196">
        <f>R6-P6</f>
        <v>13580.666666666668</v>
      </c>
      <c r="T6" s="1198"/>
      <c r="U6" s="1198"/>
    </row>
    <row r="7" spans="1:22" ht="52.5" customHeight="1">
      <c r="A7" s="1189" t="s">
        <v>628</v>
      </c>
      <c r="B7" s="1190" t="s">
        <v>1288</v>
      </c>
      <c r="C7" s="1191" t="s">
        <v>1289</v>
      </c>
      <c r="D7" s="1192" t="s">
        <v>1295</v>
      </c>
      <c r="E7" s="1193" t="s">
        <v>1296</v>
      </c>
      <c r="F7" s="1192" t="s">
        <v>1297</v>
      </c>
      <c r="G7" s="1192" t="s">
        <v>1293</v>
      </c>
      <c r="H7" s="1190" t="s">
        <v>1294</v>
      </c>
      <c r="I7" s="1194" t="e">
        <f>#REF!/1000</f>
        <v>#REF!</v>
      </c>
      <c r="J7" s="1194"/>
      <c r="K7" s="1194"/>
      <c r="L7" s="1194"/>
      <c r="M7" s="1194"/>
      <c r="N7" s="1195">
        <v>89901</v>
      </c>
      <c r="O7" s="1195">
        <v>15</v>
      </c>
      <c r="P7" s="1196">
        <f>N7/O7</f>
        <v>5993.4</v>
      </c>
      <c r="Q7" s="1197"/>
      <c r="R7" s="1196">
        <f>N7-N7/(O7*12)*Q7</f>
        <v>89901</v>
      </c>
      <c r="S7" s="1196">
        <f>R7-P7</f>
        <v>83907.6</v>
      </c>
      <c r="T7" s="1198"/>
      <c r="U7" s="1198"/>
    </row>
    <row r="8" spans="1:22" ht="52.5" customHeight="1">
      <c r="A8" s="1189" t="s">
        <v>21</v>
      </c>
      <c r="B8" s="1190" t="s">
        <v>1288</v>
      </c>
      <c r="C8" s="1191" t="s">
        <v>1289</v>
      </c>
      <c r="D8" s="1192" t="s">
        <v>1298</v>
      </c>
      <c r="E8" s="1193" t="s">
        <v>1299</v>
      </c>
      <c r="F8" s="1192" t="s">
        <v>1300</v>
      </c>
      <c r="G8" s="1192" t="s">
        <v>1293</v>
      </c>
      <c r="H8" s="1190" t="s">
        <v>1294</v>
      </c>
      <c r="I8" s="1194" t="e">
        <f>#REF!/1000</f>
        <v>#REF!</v>
      </c>
      <c r="J8" s="1194"/>
      <c r="K8" s="1194"/>
      <c r="L8" s="1194"/>
      <c r="M8" s="1194"/>
      <c r="N8" s="1195">
        <v>16619</v>
      </c>
      <c r="O8" s="1195">
        <v>15</v>
      </c>
      <c r="P8" s="1196">
        <f>N8/O8</f>
        <v>1107.9333333333334</v>
      </c>
      <c r="Q8" s="1197"/>
      <c r="R8" s="1196">
        <f>N8-N8/(O8*12)*Q8</f>
        <v>16619</v>
      </c>
      <c r="S8" s="1196">
        <f>R8-P8</f>
        <v>15511.066666666666</v>
      </c>
      <c r="T8" s="1198"/>
      <c r="U8" s="1198"/>
    </row>
    <row r="9" spans="1:22" ht="52.5" customHeight="1">
      <c r="A9" s="1189" t="s">
        <v>629</v>
      </c>
      <c r="B9" s="1190" t="s">
        <v>1288</v>
      </c>
      <c r="C9" s="1191" t="s">
        <v>1289</v>
      </c>
      <c r="D9" s="1192" t="s">
        <v>1301</v>
      </c>
      <c r="E9" s="1193" t="s">
        <v>1302</v>
      </c>
      <c r="F9" s="1192" t="s">
        <v>1303</v>
      </c>
      <c r="G9" s="1192" t="s">
        <v>1293</v>
      </c>
      <c r="H9" s="1190" t="s">
        <v>1294</v>
      </c>
      <c r="I9" s="1194" t="e">
        <f>#REF!/1000</f>
        <v>#REF!</v>
      </c>
      <c r="J9" s="1194"/>
      <c r="K9" s="1194"/>
      <c r="L9" s="1194"/>
      <c r="M9" s="1194"/>
      <c r="N9" s="1195">
        <v>17993</v>
      </c>
      <c r="O9" s="1195">
        <v>15</v>
      </c>
      <c r="P9" s="1196">
        <f>N9/O9</f>
        <v>1199.5333333333333</v>
      </c>
      <c r="Q9" s="1197"/>
      <c r="R9" s="1196">
        <f>N9-N9/(O9*12)*Q9</f>
        <v>17993</v>
      </c>
      <c r="S9" s="1196">
        <f>R9-P9</f>
        <v>16793.466666666667</v>
      </c>
      <c r="T9" s="1198"/>
      <c r="U9" s="1198"/>
    </row>
    <row r="10" spans="1:22" ht="52.5" customHeight="1">
      <c r="A10" s="1189" t="s">
        <v>630</v>
      </c>
      <c r="B10" s="1190" t="s">
        <v>1288</v>
      </c>
      <c r="C10" s="1191" t="s">
        <v>1289</v>
      </c>
      <c r="D10" s="1192" t="s">
        <v>1304</v>
      </c>
      <c r="E10" s="1193" t="s">
        <v>1305</v>
      </c>
      <c r="F10" s="1192" t="s">
        <v>1306</v>
      </c>
      <c r="G10" s="1192" t="s">
        <v>1293</v>
      </c>
      <c r="H10" s="1190" t="s">
        <v>1294</v>
      </c>
      <c r="I10" s="1194" t="e">
        <f>#REF!/1000</f>
        <v>#REF!</v>
      </c>
      <c r="J10" s="1194"/>
      <c r="K10" s="1194"/>
      <c r="L10" s="1194"/>
      <c r="M10" s="1194"/>
      <c r="N10" s="1195">
        <v>11997</v>
      </c>
      <c r="O10" s="1195">
        <v>15</v>
      </c>
      <c r="P10" s="1196">
        <f>N10/O10</f>
        <v>799.8</v>
      </c>
      <c r="Q10" s="1197"/>
      <c r="R10" s="1196">
        <f>N10-N10/(O10*12)*Q10</f>
        <v>11997</v>
      </c>
      <c r="S10" s="1196">
        <f>R10-P10</f>
        <v>11197.2</v>
      </c>
      <c r="T10" s="1198"/>
      <c r="U10" s="1198"/>
    </row>
    <row r="11" spans="1:22" ht="52.5" customHeight="1">
      <c r="A11" s="1189" t="s">
        <v>44</v>
      </c>
      <c r="B11" s="1190" t="s">
        <v>1288</v>
      </c>
      <c r="C11" s="1191" t="s">
        <v>1289</v>
      </c>
      <c r="D11" s="1192" t="s">
        <v>1307</v>
      </c>
      <c r="E11" s="1193" t="s">
        <v>1308</v>
      </c>
      <c r="F11" s="1192" t="s">
        <v>1309</v>
      </c>
      <c r="G11" s="1192" t="s">
        <v>1293</v>
      </c>
      <c r="H11" s="1190" t="s">
        <v>1294</v>
      </c>
      <c r="I11" s="1194" t="e">
        <f>#REF!/1000</f>
        <v>#REF!</v>
      </c>
      <c r="J11" s="1194"/>
      <c r="K11" s="1194"/>
      <c r="L11" s="1194"/>
      <c r="M11" s="1194"/>
      <c r="N11" s="1195">
        <v>749</v>
      </c>
      <c r="O11" s="1195">
        <v>15</v>
      </c>
      <c r="P11" s="1196">
        <f t="shared" ref="P11:P30" si="0">N11/O11</f>
        <v>49.93333333333333</v>
      </c>
      <c r="Q11" s="1197"/>
      <c r="R11" s="1196">
        <f t="shared" ref="R11:R30" si="1">N11-N11/(O11*12)*Q11</f>
        <v>749</v>
      </c>
      <c r="S11" s="1196">
        <f t="shared" ref="S11:S30" si="2">R11-P11</f>
        <v>699.06666666666672</v>
      </c>
      <c r="T11" s="1198"/>
      <c r="U11" s="1198"/>
    </row>
    <row r="12" spans="1:22" ht="52.5" customHeight="1">
      <c r="A12" s="1189" t="s">
        <v>45</v>
      </c>
      <c r="B12" s="1190" t="s">
        <v>1288</v>
      </c>
      <c r="C12" s="1191" t="s">
        <v>1289</v>
      </c>
      <c r="D12" s="1192" t="s">
        <v>1310</v>
      </c>
      <c r="E12" s="1193" t="s">
        <v>1311</v>
      </c>
      <c r="F12" s="1192" t="s">
        <v>1312</v>
      </c>
      <c r="G12" s="1192" t="s">
        <v>1293</v>
      </c>
      <c r="H12" s="1190" t="s">
        <v>1294</v>
      </c>
      <c r="I12" s="1194" t="e">
        <f>#REF!/1000</f>
        <v>#REF!</v>
      </c>
      <c r="J12" s="1194"/>
      <c r="K12" s="1194"/>
      <c r="L12" s="1194"/>
      <c r="M12" s="1194"/>
      <c r="N12" s="1195">
        <v>43659</v>
      </c>
      <c r="O12" s="1195">
        <v>15</v>
      </c>
      <c r="P12" s="1196">
        <f t="shared" si="0"/>
        <v>2910.6</v>
      </c>
      <c r="Q12" s="1197"/>
      <c r="R12" s="1196">
        <f t="shared" si="1"/>
        <v>43659</v>
      </c>
      <c r="S12" s="1196">
        <f t="shared" si="2"/>
        <v>40748.400000000001</v>
      </c>
      <c r="T12" s="1198"/>
      <c r="U12" s="1198"/>
    </row>
    <row r="13" spans="1:22" ht="52.5" customHeight="1">
      <c r="A13" s="1189" t="s">
        <v>46</v>
      </c>
      <c r="B13" s="1190" t="s">
        <v>1288</v>
      </c>
      <c r="C13" s="1191" t="s">
        <v>1289</v>
      </c>
      <c r="D13" s="1192" t="s">
        <v>1313</v>
      </c>
      <c r="E13" s="1193" t="s">
        <v>1314</v>
      </c>
      <c r="F13" s="1192" t="s">
        <v>1315</v>
      </c>
      <c r="G13" s="1192" t="s">
        <v>1293</v>
      </c>
      <c r="H13" s="1190" t="s">
        <v>1294</v>
      </c>
      <c r="I13" s="1194" t="e">
        <f>#REF!/1000</f>
        <v>#REF!</v>
      </c>
      <c r="J13" s="1194"/>
      <c r="K13" s="1194"/>
      <c r="L13" s="1194"/>
      <c r="M13" s="1194"/>
      <c r="N13" s="1195">
        <v>44943</v>
      </c>
      <c r="O13" s="1195">
        <v>15</v>
      </c>
      <c r="P13" s="1196">
        <f t="shared" si="0"/>
        <v>2996.2</v>
      </c>
      <c r="Q13" s="1197"/>
      <c r="R13" s="1196">
        <f t="shared" si="1"/>
        <v>44943</v>
      </c>
      <c r="S13" s="1196">
        <f t="shared" si="2"/>
        <v>41946.8</v>
      </c>
      <c r="T13" s="1198"/>
      <c r="U13" s="1198"/>
    </row>
    <row r="14" spans="1:22" ht="52.5" customHeight="1">
      <c r="A14" s="1189" t="s">
        <v>631</v>
      </c>
      <c r="B14" s="1190" t="s">
        <v>1288</v>
      </c>
      <c r="C14" s="1191" t="s">
        <v>1289</v>
      </c>
      <c r="D14" s="1192" t="s">
        <v>1316</v>
      </c>
      <c r="E14" s="1193" t="s">
        <v>1317</v>
      </c>
      <c r="F14" s="1192" t="s">
        <v>1318</v>
      </c>
      <c r="G14" s="1192" t="s">
        <v>1293</v>
      </c>
      <c r="H14" s="1190" t="s">
        <v>1294</v>
      </c>
      <c r="I14" s="1194" t="e">
        <f>#REF!/1000</f>
        <v>#REF!</v>
      </c>
      <c r="J14" s="1194"/>
      <c r="K14" s="1194"/>
      <c r="L14" s="1194"/>
      <c r="M14" s="1194"/>
      <c r="N14" s="1195">
        <v>25192</v>
      </c>
      <c r="O14" s="1195">
        <v>15</v>
      </c>
      <c r="P14" s="1196">
        <f t="shared" si="0"/>
        <v>1679.4666666666667</v>
      </c>
      <c r="Q14" s="1197"/>
      <c r="R14" s="1196">
        <f t="shared" si="1"/>
        <v>25192</v>
      </c>
      <c r="S14" s="1196">
        <f t="shared" si="2"/>
        <v>23512.533333333333</v>
      </c>
      <c r="T14" s="1198"/>
      <c r="U14" s="1198"/>
    </row>
    <row r="15" spans="1:22" ht="52.5" customHeight="1">
      <c r="A15" s="1189" t="s">
        <v>311</v>
      </c>
      <c r="B15" s="1190" t="s">
        <v>1288</v>
      </c>
      <c r="C15" s="1191" t="s">
        <v>1289</v>
      </c>
      <c r="D15" s="1192" t="s">
        <v>1319</v>
      </c>
      <c r="E15" s="1193" t="s">
        <v>1320</v>
      </c>
      <c r="F15" s="1192" t="s">
        <v>1321</v>
      </c>
      <c r="G15" s="1192" t="s">
        <v>1293</v>
      </c>
      <c r="H15" s="1190" t="s">
        <v>1294</v>
      </c>
      <c r="I15" s="1194" t="e">
        <f>#REF!/1000</f>
        <v>#REF!</v>
      </c>
      <c r="J15" s="1194"/>
      <c r="K15" s="1194"/>
      <c r="L15" s="1194"/>
      <c r="M15" s="1194"/>
      <c r="N15" s="1195">
        <v>19595</v>
      </c>
      <c r="O15" s="1195">
        <v>15</v>
      </c>
      <c r="P15" s="1196">
        <f t="shared" si="0"/>
        <v>1306.3333333333333</v>
      </c>
      <c r="Q15" s="1197"/>
      <c r="R15" s="1196">
        <f t="shared" si="1"/>
        <v>19595</v>
      </c>
      <c r="S15" s="1196">
        <f t="shared" si="2"/>
        <v>18288.666666666668</v>
      </c>
      <c r="T15" s="1198"/>
      <c r="U15" s="1198"/>
    </row>
    <row r="16" spans="1:22" ht="52.5" customHeight="1">
      <c r="A16" s="1189" t="s">
        <v>314</v>
      </c>
      <c r="B16" s="1190" t="s">
        <v>1288</v>
      </c>
      <c r="C16" s="1191" t="s">
        <v>1289</v>
      </c>
      <c r="D16" s="1192" t="s">
        <v>1322</v>
      </c>
      <c r="E16" s="1193" t="s">
        <v>1323</v>
      </c>
      <c r="F16" s="1192" t="s">
        <v>1324</v>
      </c>
      <c r="G16" s="1192" t="s">
        <v>1293</v>
      </c>
      <c r="H16" s="1190" t="s">
        <v>1294</v>
      </c>
      <c r="I16" s="1194" t="e">
        <f>#REF!/1000</f>
        <v>#REF!</v>
      </c>
      <c r="J16" s="1194"/>
      <c r="K16" s="1194"/>
      <c r="L16" s="1194"/>
      <c r="M16" s="1194"/>
      <c r="N16" s="1195">
        <v>55877</v>
      </c>
      <c r="O16" s="1195">
        <v>15</v>
      </c>
      <c r="P16" s="1196">
        <f t="shared" si="0"/>
        <v>3725.1333333333332</v>
      </c>
      <c r="Q16" s="1197"/>
      <c r="R16" s="1196">
        <f t="shared" si="1"/>
        <v>55877</v>
      </c>
      <c r="S16" s="1196">
        <f t="shared" si="2"/>
        <v>52151.866666666669</v>
      </c>
      <c r="T16" s="1198"/>
      <c r="U16" s="1198"/>
    </row>
    <row r="17" spans="1:22" ht="52.5" customHeight="1">
      <c r="A17" s="1189" t="s">
        <v>1274</v>
      </c>
      <c r="B17" s="1190" t="s">
        <v>1288</v>
      </c>
      <c r="C17" s="1191" t="s">
        <v>1289</v>
      </c>
      <c r="D17" s="1192" t="s">
        <v>1325</v>
      </c>
      <c r="E17" s="1193" t="s">
        <v>1326</v>
      </c>
      <c r="F17" s="1192" t="s">
        <v>1327</v>
      </c>
      <c r="G17" s="1192" t="s">
        <v>1293</v>
      </c>
      <c r="H17" s="1190" t="s">
        <v>1294</v>
      </c>
      <c r="I17" s="1194" t="e">
        <f>#REF!/1000</f>
        <v>#REF!</v>
      </c>
      <c r="J17" s="1194"/>
      <c r="K17" s="1194"/>
      <c r="L17" s="1194"/>
      <c r="M17" s="1194"/>
      <c r="N17" s="1195">
        <v>148691</v>
      </c>
      <c r="O17" s="1195">
        <v>15</v>
      </c>
      <c r="P17" s="1196">
        <f t="shared" si="0"/>
        <v>9912.7333333333336</v>
      </c>
      <c r="Q17" s="1197"/>
      <c r="R17" s="1196">
        <f t="shared" si="1"/>
        <v>148691</v>
      </c>
      <c r="S17" s="1196">
        <f t="shared" si="2"/>
        <v>138778.26666666666</v>
      </c>
      <c r="T17" s="1198"/>
      <c r="U17" s="1198"/>
    </row>
    <row r="18" spans="1:22" ht="52.5" customHeight="1">
      <c r="A18" s="1189" t="s">
        <v>1275</v>
      </c>
      <c r="B18" s="1190" t="s">
        <v>1288</v>
      </c>
      <c r="C18" s="1191" t="s">
        <v>1289</v>
      </c>
      <c r="D18" s="1192" t="s">
        <v>1328</v>
      </c>
      <c r="E18" s="1193" t="s">
        <v>1323</v>
      </c>
      <c r="F18" s="1192" t="s">
        <v>1329</v>
      </c>
      <c r="G18" s="1192" t="s">
        <v>1293</v>
      </c>
      <c r="H18" s="1190" t="s">
        <v>1294</v>
      </c>
      <c r="I18" s="1194" t="e">
        <f>#REF!/1000</f>
        <v>#REF!</v>
      </c>
      <c r="J18" s="1194"/>
      <c r="K18" s="1194"/>
      <c r="L18" s="1194"/>
      <c r="M18" s="1194"/>
      <c r="N18" s="1195">
        <v>33213</v>
      </c>
      <c r="O18" s="1195">
        <v>15</v>
      </c>
      <c r="P18" s="1196">
        <f t="shared" si="0"/>
        <v>2214.1999999999998</v>
      </c>
      <c r="Q18" s="1197"/>
      <c r="R18" s="1196">
        <f t="shared" si="1"/>
        <v>33213</v>
      </c>
      <c r="S18" s="1196">
        <f t="shared" si="2"/>
        <v>30998.799999999999</v>
      </c>
      <c r="T18" s="1198"/>
      <c r="U18" s="1198"/>
    </row>
    <row r="19" spans="1:22" ht="52.5" customHeight="1">
      <c r="A19" s="1189" t="s">
        <v>1276</v>
      </c>
      <c r="B19" s="1190" t="s">
        <v>1288</v>
      </c>
      <c r="C19" s="1191" t="s">
        <v>1289</v>
      </c>
      <c r="D19" s="1192" t="s">
        <v>1330</v>
      </c>
      <c r="E19" s="1193" t="s">
        <v>1331</v>
      </c>
      <c r="F19" s="1192" t="s">
        <v>1332</v>
      </c>
      <c r="G19" s="1192" t="s">
        <v>1293</v>
      </c>
      <c r="H19" s="1190" t="s">
        <v>1294</v>
      </c>
      <c r="I19" s="1194" t="e">
        <f>#REF!/1000</f>
        <v>#REF!</v>
      </c>
      <c r="J19" s="1194"/>
      <c r="K19" s="1194"/>
      <c r="L19" s="1194"/>
      <c r="M19" s="1194"/>
      <c r="N19" s="1195">
        <v>53366</v>
      </c>
      <c r="O19" s="1195">
        <v>15</v>
      </c>
      <c r="P19" s="1196">
        <f t="shared" si="0"/>
        <v>3557.7333333333331</v>
      </c>
      <c r="Q19" s="1197"/>
      <c r="R19" s="1196">
        <f t="shared" si="1"/>
        <v>53366</v>
      </c>
      <c r="S19" s="1196">
        <f t="shared" si="2"/>
        <v>49808.26666666667</v>
      </c>
      <c r="T19" s="1198"/>
      <c r="U19" s="1198"/>
    </row>
    <row r="20" spans="1:22" ht="52.5" customHeight="1">
      <c r="A20" s="1189" t="s">
        <v>1277</v>
      </c>
      <c r="B20" s="1190" t="s">
        <v>1288</v>
      </c>
      <c r="C20" s="1191" t="s">
        <v>1289</v>
      </c>
      <c r="D20" s="1192" t="s">
        <v>1333</v>
      </c>
      <c r="E20" s="1193" t="s">
        <v>1334</v>
      </c>
      <c r="F20" s="1192" t="s">
        <v>1335</v>
      </c>
      <c r="G20" s="1192" t="s">
        <v>1293</v>
      </c>
      <c r="H20" s="1190" t="s">
        <v>1294</v>
      </c>
      <c r="I20" s="1194" t="e">
        <f>#REF!/1000</f>
        <v>#REF!</v>
      </c>
      <c r="J20" s="1194"/>
      <c r="K20" s="1194"/>
      <c r="L20" s="1194"/>
      <c r="M20" s="1194"/>
      <c r="N20" s="1195">
        <v>96458</v>
      </c>
      <c r="O20" s="1195">
        <v>15</v>
      </c>
      <c r="P20" s="1196">
        <f t="shared" si="0"/>
        <v>6430.5333333333338</v>
      </c>
      <c r="Q20" s="1197"/>
      <c r="R20" s="1196">
        <f t="shared" si="1"/>
        <v>96458</v>
      </c>
      <c r="S20" s="1196">
        <f t="shared" si="2"/>
        <v>90027.46666666666</v>
      </c>
      <c r="T20" s="1198"/>
      <c r="U20" s="1198"/>
    </row>
    <row r="21" spans="1:22" ht="52.5" customHeight="1">
      <c r="A21" s="1189" t="s">
        <v>1278</v>
      </c>
      <c r="B21" s="1190" t="s">
        <v>1288</v>
      </c>
      <c r="C21" s="1191" t="s">
        <v>1289</v>
      </c>
      <c r="D21" s="1192" t="s">
        <v>1336</v>
      </c>
      <c r="E21" s="1193" t="s">
        <v>1334</v>
      </c>
      <c r="F21" s="1192" t="s">
        <v>1337</v>
      </c>
      <c r="G21" s="1192" t="s">
        <v>1293</v>
      </c>
      <c r="H21" s="1190" t="s">
        <v>1294</v>
      </c>
      <c r="I21" s="1194" t="e">
        <f>#REF!/1000</f>
        <v>#REF!</v>
      </c>
      <c r="J21" s="1194"/>
      <c r="K21" s="1194"/>
      <c r="L21" s="1194"/>
      <c r="M21" s="1194"/>
      <c r="N21" s="1195">
        <v>77691</v>
      </c>
      <c r="O21" s="1195">
        <v>15</v>
      </c>
      <c r="P21" s="1196">
        <f t="shared" si="0"/>
        <v>5179.3999999999996</v>
      </c>
      <c r="Q21" s="1197"/>
      <c r="R21" s="1196">
        <f t="shared" si="1"/>
        <v>77691</v>
      </c>
      <c r="S21" s="1196">
        <f t="shared" si="2"/>
        <v>72511.600000000006</v>
      </c>
      <c r="T21" s="1198"/>
      <c r="U21" s="1198"/>
    </row>
    <row r="22" spans="1:22" ht="52.5" customHeight="1">
      <c r="A22" s="1189" t="s">
        <v>1279</v>
      </c>
      <c r="B22" s="1190" t="s">
        <v>1288</v>
      </c>
      <c r="C22" s="1191" t="s">
        <v>1289</v>
      </c>
      <c r="D22" s="1192" t="s">
        <v>1338</v>
      </c>
      <c r="E22" s="1193" t="s">
        <v>1339</v>
      </c>
      <c r="F22" s="1192" t="s">
        <v>1340</v>
      </c>
      <c r="G22" s="1192" t="s">
        <v>1293</v>
      </c>
      <c r="H22" s="1190" t="s">
        <v>1294</v>
      </c>
      <c r="I22" s="1194" t="e">
        <f>#REF!/1000</f>
        <v>#REF!</v>
      </c>
      <c r="J22" s="1194"/>
      <c r="K22" s="1194"/>
      <c r="L22" s="1194"/>
      <c r="M22" s="1194"/>
      <c r="N22" s="1195">
        <v>62000</v>
      </c>
      <c r="O22" s="1195">
        <v>15</v>
      </c>
      <c r="P22" s="1196">
        <f t="shared" si="0"/>
        <v>4133.333333333333</v>
      </c>
      <c r="Q22" s="1197"/>
      <c r="R22" s="1196">
        <f t="shared" si="1"/>
        <v>62000</v>
      </c>
      <c r="S22" s="1196">
        <f t="shared" si="2"/>
        <v>57866.666666666664</v>
      </c>
      <c r="T22" s="1198"/>
      <c r="U22" s="1198"/>
    </row>
    <row r="23" spans="1:22" ht="52.5" customHeight="1">
      <c r="A23" s="1189" t="s">
        <v>1280</v>
      </c>
      <c r="B23" s="1190" t="s">
        <v>1288</v>
      </c>
      <c r="C23" s="1191" t="s">
        <v>1289</v>
      </c>
      <c r="D23" s="1192" t="s">
        <v>1341</v>
      </c>
      <c r="E23" s="1193" t="s">
        <v>1342</v>
      </c>
      <c r="F23" s="1192">
        <v>0</v>
      </c>
      <c r="G23" s="1192" t="s">
        <v>1293</v>
      </c>
      <c r="H23" s="1190" t="s">
        <v>1294</v>
      </c>
      <c r="I23" s="1194" t="e">
        <f>#REF!/1000</f>
        <v>#REF!</v>
      </c>
      <c r="J23" s="1194"/>
      <c r="K23" s="1194"/>
      <c r="L23" s="1194"/>
      <c r="M23" s="1194"/>
      <c r="N23" s="1195">
        <v>27690</v>
      </c>
      <c r="O23" s="1195">
        <v>15</v>
      </c>
      <c r="P23" s="1196">
        <f t="shared" si="0"/>
        <v>1846</v>
      </c>
      <c r="Q23" s="1197"/>
      <c r="R23" s="1196">
        <f t="shared" si="1"/>
        <v>27690</v>
      </c>
      <c r="S23" s="1196">
        <f t="shared" si="2"/>
        <v>25844</v>
      </c>
      <c r="T23" s="1198"/>
      <c r="U23" s="1198"/>
    </row>
    <row r="24" spans="1:22" ht="52.5" customHeight="1">
      <c r="A24" s="1189" t="s">
        <v>1281</v>
      </c>
      <c r="B24" s="1190" t="s">
        <v>1288</v>
      </c>
      <c r="C24" s="1191" t="s">
        <v>1289</v>
      </c>
      <c r="D24" s="1192" t="s">
        <v>1343</v>
      </c>
      <c r="E24" s="1193" t="s">
        <v>1305</v>
      </c>
      <c r="F24" s="1192">
        <v>0</v>
      </c>
      <c r="G24" s="1192" t="s">
        <v>1293</v>
      </c>
      <c r="H24" s="1190" t="s">
        <v>1294</v>
      </c>
      <c r="I24" s="1194" t="e">
        <f>#REF!/1000</f>
        <v>#REF!</v>
      </c>
      <c r="J24" s="1194"/>
      <c r="K24" s="1194"/>
      <c r="L24" s="1194"/>
      <c r="M24" s="1194"/>
      <c r="N24" s="1195">
        <v>96458</v>
      </c>
      <c r="O24" s="1195">
        <v>15</v>
      </c>
      <c r="P24" s="1196">
        <f t="shared" si="0"/>
        <v>6430.5333333333338</v>
      </c>
      <c r="Q24" s="1197"/>
      <c r="R24" s="1196">
        <f t="shared" si="1"/>
        <v>96458</v>
      </c>
      <c r="S24" s="1196">
        <f t="shared" si="2"/>
        <v>90027.46666666666</v>
      </c>
      <c r="T24" s="1198"/>
      <c r="U24" s="1198"/>
    </row>
    <row r="25" spans="1:22" ht="76.5" customHeight="1">
      <c r="A25" s="1189" t="s">
        <v>1282</v>
      </c>
      <c r="B25" s="1190" t="s">
        <v>1288</v>
      </c>
      <c r="C25" s="1191" t="s">
        <v>1289</v>
      </c>
      <c r="D25" s="1192" t="s">
        <v>1344</v>
      </c>
      <c r="E25" s="1193" t="s">
        <v>1345</v>
      </c>
      <c r="F25" s="1192" t="s">
        <v>1346</v>
      </c>
      <c r="G25" s="1192" t="s">
        <v>1293</v>
      </c>
      <c r="H25" s="1190" t="s">
        <v>1294</v>
      </c>
      <c r="I25" s="1194" t="e">
        <f>#REF!/1000</f>
        <v>#REF!</v>
      </c>
      <c r="J25" s="1194"/>
      <c r="K25" s="1194"/>
      <c r="L25" s="1194"/>
      <c r="M25" s="1194"/>
      <c r="N25" s="1195">
        <v>572638</v>
      </c>
      <c r="O25" s="1195">
        <v>15</v>
      </c>
      <c r="P25" s="1196">
        <f t="shared" si="0"/>
        <v>38175.866666666669</v>
      </c>
      <c r="Q25" s="1197"/>
      <c r="R25" s="1196">
        <f t="shared" si="1"/>
        <v>572638</v>
      </c>
      <c r="S25" s="1196">
        <f t="shared" si="2"/>
        <v>534462.1333333333</v>
      </c>
      <c r="T25" s="1198"/>
      <c r="U25" s="1198"/>
    </row>
    <row r="26" spans="1:22" ht="64.5" customHeight="1">
      <c r="A26" s="1189" t="s">
        <v>1283</v>
      </c>
      <c r="B26" s="1190" t="s">
        <v>1288</v>
      </c>
      <c r="C26" s="1191" t="s">
        <v>1289</v>
      </c>
      <c r="D26" s="1192" t="s">
        <v>1347</v>
      </c>
      <c r="E26" s="1193" t="s">
        <v>1348</v>
      </c>
      <c r="F26" s="1192" t="s">
        <v>1349</v>
      </c>
      <c r="G26" s="1192" t="s">
        <v>1293</v>
      </c>
      <c r="H26" s="1190" t="s">
        <v>1294</v>
      </c>
      <c r="I26" s="1194" t="e">
        <f>#REF!/1000</f>
        <v>#REF!</v>
      </c>
      <c r="J26" s="1194"/>
      <c r="K26" s="1194"/>
      <c r="L26" s="1194"/>
      <c r="M26" s="1194"/>
      <c r="N26" s="1195">
        <v>78502</v>
      </c>
      <c r="O26" s="1195">
        <v>15</v>
      </c>
      <c r="P26" s="1196">
        <f t="shared" si="0"/>
        <v>5233.4666666666662</v>
      </c>
      <c r="Q26" s="1197"/>
      <c r="R26" s="1196">
        <f t="shared" si="1"/>
        <v>78502</v>
      </c>
      <c r="S26" s="1196">
        <f t="shared" si="2"/>
        <v>73268.53333333334</v>
      </c>
      <c r="T26" s="1198"/>
      <c r="U26" s="1198"/>
    </row>
    <row r="27" spans="1:22" ht="120" customHeight="1">
      <c r="A27" s="1189" t="s">
        <v>1284</v>
      </c>
      <c r="B27" s="1190" t="s">
        <v>1288</v>
      </c>
      <c r="C27" s="1191" t="s">
        <v>1289</v>
      </c>
      <c r="D27" s="1192" t="s">
        <v>1350</v>
      </c>
      <c r="E27" s="1193" t="s">
        <v>1348</v>
      </c>
      <c r="F27" s="1192" t="s">
        <v>1351</v>
      </c>
      <c r="G27" s="1192" t="s">
        <v>1293</v>
      </c>
      <c r="H27" s="1190" t="s">
        <v>1294</v>
      </c>
      <c r="I27" s="1194" t="e">
        <f>#REF!/1000</f>
        <v>#REF!</v>
      </c>
      <c r="J27" s="1194"/>
      <c r="K27" s="1194"/>
      <c r="L27" s="1194"/>
      <c r="M27" s="1194"/>
      <c r="N27" s="1195">
        <v>50400</v>
      </c>
      <c r="O27" s="1195">
        <v>15</v>
      </c>
      <c r="P27" s="1196">
        <f t="shared" si="0"/>
        <v>3360</v>
      </c>
      <c r="Q27" s="1197"/>
      <c r="R27" s="1196">
        <f t="shared" si="1"/>
        <v>50400</v>
      </c>
      <c r="S27" s="1196">
        <f t="shared" si="2"/>
        <v>47040</v>
      </c>
      <c r="T27" s="1198"/>
      <c r="U27" s="1198"/>
    </row>
    <row r="28" spans="1:22" ht="75">
      <c r="A28" s="1189" t="s">
        <v>1285</v>
      </c>
      <c r="B28" s="1190" t="s">
        <v>1288</v>
      </c>
      <c r="C28" s="1191" t="s">
        <v>1289</v>
      </c>
      <c r="D28" s="1192" t="s">
        <v>1352</v>
      </c>
      <c r="E28" s="1193" t="s">
        <v>1348</v>
      </c>
      <c r="F28" s="1192" t="s">
        <v>1353</v>
      </c>
      <c r="G28" s="1192" t="s">
        <v>1293</v>
      </c>
      <c r="H28" s="1190" t="s">
        <v>1294</v>
      </c>
      <c r="I28" s="1194" t="e">
        <f>#REF!/1000</f>
        <v>#REF!</v>
      </c>
      <c r="J28" s="1194"/>
      <c r="K28" s="1194"/>
      <c r="L28" s="1194"/>
      <c r="M28" s="1194"/>
      <c r="N28" s="1195">
        <v>7550</v>
      </c>
      <c r="O28" s="1195">
        <v>15</v>
      </c>
      <c r="P28" s="1196">
        <f t="shared" si="0"/>
        <v>503.33333333333331</v>
      </c>
      <c r="Q28" s="1197"/>
      <c r="R28" s="1196">
        <f t="shared" si="1"/>
        <v>7550</v>
      </c>
      <c r="S28" s="1196">
        <f t="shared" si="2"/>
        <v>7046.666666666667</v>
      </c>
      <c r="T28" s="1198"/>
      <c r="U28" s="1198"/>
    </row>
    <row r="29" spans="1:22" ht="44.25" customHeight="1">
      <c r="A29" s="1189" t="s">
        <v>1286</v>
      </c>
      <c r="B29" s="1190" t="s">
        <v>1288</v>
      </c>
      <c r="C29" s="1191" t="s">
        <v>1289</v>
      </c>
      <c r="D29" s="1192" t="s">
        <v>1354</v>
      </c>
      <c r="E29" s="1193" t="s">
        <v>1348</v>
      </c>
      <c r="F29" s="1192" t="s">
        <v>1355</v>
      </c>
      <c r="G29" s="1192" t="s">
        <v>1293</v>
      </c>
      <c r="H29" s="1190" t="s">
        <v>1294</v>
      </c>
      <c r="I29" s="1194" t="e">
        <f>#REF!/1000</f>
        <v>#REF!</v>
      </c>
      <c r="J29" s="1194"/>
      <c r="K29" s="1194"/>
      <c r="L29" s="1194"/>
      <c r="M29" s="1194"/>
      <c r="N29" s="1195">
        <v>605317</v>
      </c>
      <c r="O29" s="1195">
        <v>15</v>
      </c>
      <c r="P29" s="1196">
        <f t="shared" si="0"/>
        <v>40354.466666666667</v>
      </c>
      <c r="Q29" s="1197"/>
      <c r="R29" s="1196">
        <f t="shared" si="1"/>
        <v>605317</v>
      </c>
      <c r="S29" s="1196">
        <f t="shared" si="2"/>
        <v>564962.53333333333</v>
      </c>
      <c r="T29" s="1198"/>
      <c r="U29" s="1198"/>
    </row>
    <row r="30" spans="1:22" ht="52.5" customHeight="1">
      <c r="A30" s="1189" t="s">
        <v>1287</v>
      </c>
      <c r="B30" s="1190" t="s">
        <v>1288</v>
      </c>
      <c r="C30" s="1191" t="s">
        <v>1289</v>
      </c>
      <c r="D30" s="1192" t="s">
        <v>1356</v>
      </c>
      <c r="E30" s="1248" t="s">
        <v>1357</v>
      </c>
      <c r="F30" s="1242">
        <v>0</v>
      </c>
      <c r="G30" s="1192">
        <v>41518</v>
      </c>
      <c r="H30" s="1190" t="s">
        <v>1294</v>
      </c>
      <c r="I30" s="1194" t="e">
        <f>#REF!/1000</f>
        <v>#REF!</v>
      </c>
      <c r="J30" s="1194"/>
      <c r="K30" s="1194"/>
      <c r="L30" s="1194"/>
      <c r="M30" s="1194"/>
      <c r="N30" s="1195">
        <v>4017466</v>
      </c>
      <c r="O30" s="1195">
        <v>15</v>
      </c>
      <c r="P30" s="1196">
        <f t="shared" si="0"/>
        <v>267831.06666666665</v>
      </c>
      <c r="Q30" s="1197"/>
      <c r="R30" s="1196">
        <f t="shared" si="1"/>
        <v>4017466</v>
      </c>
      <c r="S30" s="1196">
        <f t="shared" si="2"/>
        <v>3749634.9333333336</v>
      </c>
      <c r="T30" s="1198"/>
      <c r="U30" s="1198"/>
    </row>
    <row r="31" spans="1:22" ht="52.5" customHeight="1">
      <c r="A31" s="1228"/>
      <c r="B31" s="1191"/>
      <c r="C31" s="1191"/>
      <c r="D31" s="1229"/>
      <c r="E31" s="1230"/>
      <c r="F31" s="1229"/>
      <c r="G31" s="1229"/>
      <c r="H31" s="1191"/>
      <c r="I31" s="1231"/>
      <c r="J31" s="1231">
        <f>(867+5422+1379+234+(11177+6237+14412+2283+1174+1109)*0.3)/1000</f>
        <v>18.819599999999998</v>
      </c>
      <c r="K31" s="1231"/>
      <c r="L31" s="1231">
        <v>8.6920000000000002</v>
      </c>
      <c r="M31" s="1230"/>
      <c r="N31" s="1232"/>
      <c r="O31" s="1232"/>
      <c r="P31" s="1196"/>
      <c r="Q31" s="1233"/>
      <c r="R31" s="1196"/>
      <c r="S31" s="1196"/>
      <c r="T31" s="1234"/>
      <c r="U31" s="1196"/>
      <c r="V31" s="1443">
        <f>L31</f>
        <v>8.6920000000000002</v>
      </c>
    </row>
    <row r="32" spans="1:22" s="1226" customFormat="1" ht="56.25" customHeight="1">
      <c r="A32" s="1247" t="s">
        <v>627</v>
      </c>
      <c r="B32" s="1245" t="s">
        <v>1392</v>
      </c>
      <c r="C32" s="1159" t="s">
        <v>1393</v>
      </c>
      <c r="D32" s="1246" t="s">
        <v>1394</v>
      </c>
      <c r="E32" s="1249" t="s">
        <v>1395</v>
      </c>
      <c r="F32" s="1243" t="s">
        <v>1396</v>
      </c>
      <c r="G32" s="1244" t="s">
        <v>1293</v>
      </c>
      <c r="H32" s="1245" t="s">
        <v>1397</v>
      </c>
      <c r="I32" s="1194" t="e">
        <f>#REF!/1000</f>
        <v>#REF!</v>
      </c>
      <c r="J32" s="1194"/>
      <c r="K32" s="1194"/>
      <c r="L32" s="1194"/>
      <c r="M32" s="1240"/>
      <c r="N32" s="1238">
        <v>15328</v>
      </c>
      <c r="O32" s="1239">
        <v>15</v>
      </c>
      <c r="P32" s="1160">
        <f>N32/O32</f>
        <v>1021.8666666666667</v>
      </c>
      <c r="Q32" s="1237">
        <v>12</v>
      </c>
      <c r="R32" s="1161">
        <f>N32-N32/(O32*12)*Q32</f>
        <v>14306.133333333333</v>
      </c>
      <c r="S32" s="1161">
        <f>R32-P32</f>
        <v>13284.266666666666</v>
      </c>
      <c r="T32" s="1235"/>
      <c r="U32" s="1236"/>
    </row>
    <row r="33" spans="1:22" s="1226" customFormat="1" ht="56.25" customHeight="1">
      <c r="A33" s="1247" t="s">
        <v>628</v>
      </c>
      <c r="B33" s="1245" t="s">
        <v>1392</v>
      </c>
      <c r="C33" s="1159" t="s">
        <v>1393</v>
      </c>
      <c r="D33" s="1243" t="s">
        <v>1398</v>
      </c>
      <c r="E33" s="1249" t="s">
        <v>1395</v>
      </c>
      <c r="F33" s="1243" t="s">
        <v>1399</v>
      </c>
      <c r="G33" s="1244" t="s">
        <v>1293</v>
      </c>
      <c r="H33" s="1245" t="s">
        <v>1397</v>
      </c>
      <c r="I33" s="1194" t="e">
        <f>#REF!/1000</f>
        <v>#REF!</v>
      </c>
      <c r="J33" s="1194"/>
      <c r="K33" s="1194"/>
      <c r="L33" s="1194"/>
      <c r="M33" s="1240"/>
      <c r="N33" s="1238">
        <v>7000</v>
      </c>
      <c r="O33" s="1239">
        <v>15</v>
      </c>
      <c r="P33" s="1160">
        <f>N33/O33</f>
        <v>466.66666666666669</v>
      </c>
      <c r="Q33" s="1237">
        <v>12</v>
      </c>
      <c r="R33" s="1161">
        <f>N33-N33/(O33*12)*Q33</f>
        <v>6533.333333333333</v>
      </c>
      <c r="S33" s="1161">
        <f t="shared" ref="S33:S41" si="3">R33-P33</f>
        <v>6066.6666666666661</v>
      </c>
      <c r="T33" s="1235"/>
      <c r="U33" s="1236"/>
    </row>
    <row r="34" spans="1:22" s="1226" customFormat="1" ht="56.25" customHeight="1">
      <c r="A34" s="1247" t="s">
        <v>21</v>
      </c>
      <c r="B34" s="1245" t="s">
        <v>1392</v>
      </c>
      <c r="C34" s="1159" t="s">
        <v>1393</v>
      </c>
      <c r="D34" s="1243" t="s">
        <v>1400</v>
      </c>
      <c r="E34" s="1249" t="s">
        <v>1395</v>
      </c>
      <c r="F34" s="1243" t="s">
        <v>1401</v>
      </c>
      <c r="G34" s="1244" t="s">
        <v>1293</v>
      </c>
      <c r="H34" s="1245" t="s">
        <v>1397</v>
      </c>
      <c r="I34" s="1194" t="e">
        <f>#REF!/1000</f>
        <v>#REF!</v>
      </c>
      <c r="J34" s="1194"/>
      <c r="K34" s="1194"/>
      <c r="L34" s="1194"/>
      <c r="M34" s="1240"/>
      <c r="N34" s="1238">
        <v>8460</v>
      </c>
      <c r="O34" s="1239">
        <v>15</v>
      </c>
      <c r="P34" s="1160">
        <f>N34/O34</f>
        <v>564</v>
      </c>
      <c r="Q34" s="1237">
        <v>12</v>
      </c>
      <c r="R34" s="1161">
        <f>N34-N34/(O34*12)*Q34</f>
        <v>7896</v>
      </c>
      <c r="S34" s="1161">
        <f>R34-P34</f>
        <v>7332</v>
      </c>
      <c r="T34" s="1235"/>
      <c r="U34" s="1236"/>
    </row>
    <row r="35" spans="1:22" s="1226" customFormat="1" ht="56.25" customHeight="1">
      <c r="A35" s="1247" t="s">
        <v>44</v>
      </c>
      <c r="B35" s="1245" t="s">
        <v>1392</v>
      </c>
      <c r="C35" s="1159" t="s">
        <v>1393</v>
      </c>
      <c r="D35" s="1243" t="s">
        <v>1402</v>
      </c>
      <c r="E35" s="1249" t="s">
        <v>1395</v>
      </c>
      <c r="F35" s="1243" t="s">
        <v>1403</v>
      </c>
      <c r="G35" s="1244" t="s">
        <v>1293</v>
      </c>
      <c r="H35" s="1245" t="s">
        <v>1397</v>
      </c>
      <c r="I35" s="1194" t="e">
        <f>#REF!/1000</f>
        <v>#REF!</v>
      </c>
      <c r="J35" s="1194"/>
      <c r="K35" s="1194"/>
      <c r="L35" s="1194"/>
      <c r="M35" s="1240"/>
      <c r="N35" s="1238">
        <v>17000</v>
      </c>
      <c r="O35" s="1239">
        <v>15</v>
      </c>
      <c r="P35" s="1160">
        <f t="shared" ref="P35:P41" si="4">N35/O35</f>
        <v>1133.3333333333333</v>
      </c>
      <c r="Q35" s="1237">
        <v>12</v>
      </c>
      <c r="R35" s="1161">
        <f t="shared" ref="R35:R41" si="5">N35-N35/(O35*12)*Q35</f>
        <v>15866.666666666666</v>
      </c>
      <c r="S35" s="1161">
        <f t="shared" si="3"/>
        <v>14733.333333333332</v>
      </c>
      <c r="T35" s="1235"/>
      <c r="U35" s="1236"/>
    </row>
    <row r="36" spans="1:22" s="1226" customFormat="1" ht="56.25" customHeight="1">
      <c r="A36" s="1247" t="s">
        <v>45</v>
      </c>
      <c r="B36" s="1245" t="s">
        <v>1392</v>
      </c>
      <c r="C36" s="1159" t="s">
        <v>1393</v>
      </c>
      <c r="D36" s="1243" t="s">
        <v>1402</v>
      </c>
      <c r="E36" s="1249" t="s">
        <v>1395</v>
      </c>
      <c r="F36" s="1243" t="s">
        <v>1404</v>
      </c>
      <c r="G36" s="1244" t="s">
        <v>1293</v>
      </c>
      <c r="H36" s="1245" t="s">
        <v>1397</v>
      </c>
      <c r="I36" s="1194" t="e">
        <f>#REF!/1000</f>
        <v>#REF!</v>
      </c>
      <c r="J36" s="1194"/>
      <c r="K36" s="1194"/>
      <c r="L36" s="1194"/>
      <c r="M36" s="1240"/>
      <c r="N36" s="1238">
        <v>17000</v>
      </c>
      <c r="O36" s="1239">
        <v>15</v>
      </c>
      <c r="P36" s="1160">
        <f t="shared" si="4"/>
        <v>1133.3333333333333</v>
      </c>
      <c r="Q36" s="1237">
        <v>12</v>
      </c>
      <c r="R36" s="1161">
        <f t="shared" si="5"/>
        <v>15866.666666666666</v>
      </c>
      <c r="S36" s="1161">
        <f t="shared" si="3"/>
        <v>14733.333333333332</v>
      </c>
      <c r="T36" s="1235"/>
      <c r="U36" s="1236"/>
    </row>
    <row r="37" spans="1:22" s="1226" customFormat="1" ht="56.25" customHeight="1">
      <c r="A37" s="1247" t="s">
        <v>46</v>
      </c>
      <c r="B37" s="1245" t="s">
        <v>1392</v>
      </c>
      <c r="C37" s="1159" t="s">
        <v>1393</v>
      </c>
      <c r="D37" s="1243" t="s">
        <v>1402</v>
      </c>
      <c r="E37" s="1249" t="s">
        <v>1395</v>
      </c>
      <c r="F37" s="1243" t="s">
        <v>1405</v>
      </c>
      <c r="G37" s="1244" t="s">
        <v>1293</v>
      </c>
      <c r="H37" s="1245" t="s">
        <v>1397</v>
      </c>
      <c r="I37" s="1194" t="e">
        <f>#REF!/1000</f>
        <v>#REF!</v>
      </c>
      <c r="J37" s="1194"/>
      <c r="K37" s="1194"/>
      <c r="L37" s="1194"/>
      <c r="M37" s="1240"/>
      <c r="N37" s="1238">
        <v>17000</v>
      </c>
      <c r="O37" s="1239">
        <v>15</v>
      </c>
      <c r="P37" s="1160">
        <f t="shared" si="4"/>
        <v>1133.3333333333333</v>
      </c>
      <c r="Q37" s="1237">
        <v>12</v>
      </c>
      <c r="R37" s="1161">
        <f t="shared" si="5"/>
        <v>15866.666666666666</v>
      </c>
      <c r="S37" s="1161">
        <f t="shared" si="3"/>
        <v>14733.333333333332</v>
      </c>
      <c r="T37" s="1235"/>
      <c r="U37" s="1236"/>
    </row>
    <row r="38" spans="1:22" s="1226" customFormat="1" ht="56.25" customHeight="1">
      <c r="A38" s="1247" t="s">
        <v>631</v>
      </c>
      <c r="B38" s="1245" t="s">
        <v>1392</v>
      </c>
      <c r="C38" s="1159" t="s">
        <v>1393</v>
      </c>
      <c r="D38" s="1243" t="s">
        <v>1402</v>
      </c>
      <c r="E38" s="1249" t="s">
        <v>1395</v>
      </c>
      <c r="F38" s="1243" t="s">
        <v>1406</v>
      </c>
      <c r="G38" s="1244" t="s">
        <v>1293</v>
      </c>
      <c r="H38" s="1245" t="s">
        <v>1397</v>
      </c>
      <c r="I38" s="1194" t="e">
        <f>#REF!/1000</f>
        <v>#REF!</v>
      </c>
      <c r="J38" s="1194"/>
      <c r="K38" s="1194"/>
      <c r="L38" s="1194"/>
      <c r="M38" s="1240"/>
      <c r="N38" s="1238">
        <v>17000</v>
      </c>
      <c r="O38" s="1239">
        <v>15</v>
      </c>
      <c r="P38" s="1160">
        <f t="shared" si="4"/>
        <v>1133.3333333333333</v>
      </c>
      <c r="Q38" s="1237">
        <v>12</v>
      </c>
      <c r="R38" s="1161">
        <f t="shared" si="5"/>
        <v>15866.666666666666</v>
      </c>
      <c r="S38" s="1161">
        <f t="shared" si="3"/>
        <v>14733.333333333332</v>
      </c>
      <c r="T38" s="1235"/>
      <c r="U38" s="1236"/>
    </row>
    <row r="39" spans="1:22" s="1226" customFormat="1" ht="56.25" customHeight="1">
      <c r="A39" s="1247" t="s">
        <v>311</v>
      </c>
      <c r="B39" s="1245" t="s">
        <v>1392</v>
      </c>
      <c r="C39" s="1159" t="s">
        <v>1393</v>
      </c>
      <c r="D39" s="1243" t="s">
        <v>1407</v>
      </c>
      <c r="E39" s="1249" t="s">
        <v>1395</v>
      </c>
      <c r="F39" s="1243" t="s">
        <v>1408</v>
      </c>
      <c r="G39" s="1244" t="s">
        <v>1293</v>
      </c>
      <c r="H39" s="1245" t="s">
        <v>1397</v>
      </c>
      <c r="I39" s="1194" t="e">
        <f>#REF!/1000</f>
        <v>#REF!</v>
      </c>
      <c r="J39" s="1194"/>
      <c r="K39" s="1194"/>
      <c r="L39" s="1194"/>
      <c r="M39" s="1240"/>
      <c r="N39" s="1238">
        <v>0</v>
      </c>
      <c r="O39" s="1239"/>
      <c r="P39" s="1160"/>
      <c r="Q39" s="1237">
        <v>12</v>
      </c>
      <c r="R39" s="1161">
        <v>0</v>
      </c>
      <c r="S39" s="1161">
        <f t="shared" si="3"/>
        <v>0</v>
      </c>
      <c r="T39" s="1235"/>
      <c r="U39" s="1236"/>
    </row>
    <row r="40" spans="1:22" s="1226" customFormat="1" ht="56.25" customHeight="1">
      <c r="A40" s="1247"/>
      <c r="B40" s="1245" t="s">
        <v>1392</v>
      </c>
      <c r="C40" s="1159" t="s">
        <v>1393</v>
      </c>
      <c r="D40" s="1243" t="s">
        <v>1409</v>
      </c>
      <c r="E40" s="1249" t="s">
        <v>1395</v>
      </c>
      <c r="F40" s="1243" t="s">
        <v>1410</v>
      </c>
      <c r="G40" s="1244" t="s">
        <v>1293</v>
      </c>
      <c r="H40" s="1245" t="s">
        <v>1397</v>
      </c>
      <c r="I40" s="1194" t="e">
        <f>#REF!/1000</f>
        <v>#REF!</v>
      </c>
      <c r="J40" s="1194"/>
      <c r="K40" s="1194"/>
      <c r="L40" s="1194"/>
      <c r="M40" s="1240"/>
      <c r="N40" s="1238">
        <v>18000</v>
      </c>
      <c r="O40" s="1239">
        <v>15</v>
      </c>
      <c r="P40" s="1160">
        <f>N40/O40</f>
        <v>1200</v>
      </c>
      <c r="Q40" s="1237">
        <v>12</v>
      </c>
      <c r="R40" s="1161">
        <f>N40-N40/(O40*12)*Q40</f>
        <v>16800</v>
      </c>
      <c r="S40" s="1161">
        <f>R40-P40</f>
        <v>15600</v>
      </c>
      <c r="T40" s="1235"/>
      <c r="U40" s="1236"/>
    </row>
    <row r="41" spans="1:22" s="1226" customFormat="1" ht="56.25" customHeight="1">
      <c r="A41" s="1247" t="s">
        <v>314</v>
      </c>
      <c r="B41" s="1245" t="s">
        <v>1392</v>
      </c>
      <c r="C41" s="1159" t="s">
        <v>1393</v>
      </c>
      <c r="D41" s="1243" t="s">
        <v>1409</v>
      </c>
      <c r="E41" s="1249" t="s">
        <v>1395</v>
      </c>
      <c r="F41" s="1243" t="s">
        <v>1411</v>
      </c>
      <c r="G41" s="1244" t="s">
        <v>1293</v>
      </c>
      <c r="H41" s="1245" t="s">
        <v>1397</v>
      </c>
      <c r="I41" s="1194" t="e">
        <f>#REF!/1000</f>
        <v>#REF!</v>
      </c>
      <c r="J41" s="1194"/>
      <c r="K41" s="1194"/>
      <c r="L41" s="1194"/>
      <c r="M41" s="1240"/>
      <c r="N41" s="1238">
        <v>18000</v>
      </c>
      <c r="O41" s="1239">
        <v>15</v>
      </c>
      <c r="P41" s="1160">
        <f t="shared" si="4"/>
        <v>1200</v>
      </c>
      <c r="Q41" s="1237">
        <v>12</v>
      </c>
      <c r="R41" s="1161">
        <f t="shared" si="5"/>
        <v>16800</v>
      </c>
      <c r="S41" s="1161">
        <f t="shared" si="3"/>
        <v>15600</v>
      </c>
      <c r="T41" s="1235"/>
      <c r="U41" s="1236"/>
    </row>
    <row r="42" spans="1:22" s="1225" customFormat="1">
      <c r="A42" s="1165"/>
      <c r="B42" s="1163" t="s">
        <v>593</v>
      </c>
      <c r="C42" s="1164"/>
      <c r="D42" s="1227"/>
      <c r="E42" s="1165"/>
      <c r="F42" s="1165"/>
      <c r="G42" s="1165"/>
      <c r="H42" s="1158"/>
      <c r="I42" s="1241"/>
      <c r="J42" s="1241"/>
      <c r="K42" s="1241"/>
      <c r="L42" s="1241"/>
      <c r="M42" s="1158"/>
      <c r="N42" s="1162"/>
      <c r="O42" s="1162"/>
      <c r="P42" s="1166"/>
      <c r="Q42" s="1166"/>
      <c r="R42" s="1166"/>
      <c r="S42" s="1166"/>
      <c r="T42" s="1167"/>
      <c r="U42" s="1168"/>
    </row>
    <row r="43" spans="1:22" s="1226" customFormat="1" ht="60.75" customHeight="1">
      <c r="A43" s="1247" t="s">
        <v>627</v>
      </c>
      <c r="B43" s="1245" t="s">
        <v>1392</v>
      </c>
      <c r="C43" s="1159" t="s">
        <v>1393</v>
      </c>
      <c r="D43" s="1243" t="s">
        <v>1412</v>
      </c>
      <c r="E43" s="1249" t="s">
        <v>1395</v>
      </c>
      <c r="F43" s="1243" t="s">
        <v>1413</v>
      </c>
      <c r="G43" s="1244" t="s">
        <v>1293</v>
      </c>
      <c r="H43" s="1245" t="s">
        <v>1397</v>
      </c>
      <c r="I43" s="1194" t="e">
        <f>#REF!/1000</f>
        <v>#REF!</v>
      </c>
      <c r="J43" s="1194"/>
      <c r="K43" s="1194"/>
      <c r="L43" s="1194"/>
      <c r="M43" s="1240"/>
      <c r="N43" s="1238">
        <v>989156</v>
      </c>
      <c r="O43" s="1239">
        <v>15</v>
      </c>
      <c r="P43" s="1160">
        <f>N43/O43</f>
        <v>65943.733333333337</v>
      </c>
      <c r="Q43" s="1237">
        <v>12</v>
      </c>
      <c r="R43" s="1161">
        <f>N43-N43/(O43*12)*Q43</f>
        <v>923212.2666666666</v>
      </c>
      <c r="S43" s="1161">
        <f>R43-P43</f>
        <v>857268.53333333321</v>
      </c>
      <c r="T43" s="1235"/>
      <c r="U43" s="1236"/>
    </row>
    <row r="44" spans="1:22" s="1226" customFormat="1" ht="60.75" customHeight="1">
      <c r="A44" s="1247" t="s">
        <v>628</v>
      </c>
      <c r="B44" s="1245" t="s">
        <v>1392</v>
      </c>
      <c r="C44" s="1159" t="s">
        <v>1393</v>
      </c>
      <c r="D44" s="1243" t="s">
        <v>1414</v>
      </c>
      <c r="E44" s="1249" t="s">
        <v>1395</v>
      </c>
      <c r="F44" s="1243" t="s">
        <v>1415</v>
      </c>
      <c r="G44" s="1244" t="s">
        <v>1293</v>
      </c>
      <c r="H44" s="1245" t="s">
        <v>1397</v>
      </c>
      <c r="I44" s="1194" t="e">
        <f>#REF!/1000</f>
        <v>#REF!</v>
      </c>
      <c r="J44" s="1194"/>
      <c r="K44" s="1194"/>
      <c r="L44" s="1194"/>
      <c r="M44" s="1240"/>
      <c r="N44" s="1238">
        <v>989156</v>
      </c>
      <c r="O44" s="1239">
        <v>15</v>
      </c>
      <c r="P44" s="1160">
        <f>N43/O43</f>
        <v>65943.733333333337</v>
      </c>
      <c r="Q44" s="1237">
        <v>12</v>
      </c>
      <c r="R44" s="1161">
        <f>N43-N43/(O43*12)*Q44</f>
        <v>923212.2666666666</v>
      </c>
      <c r="S44" s="1161">
        <f>R44-P44</f>
        <v>857268.53333333321</v>
      </c>
      <c r="T44" s="1235"/>
      <c r="U44" s="1236"/>
    </row>
    <row r="45" spans="1:22" s="1225" customFormat="1">
      <c r="A45" s="1169"/>
      <c r="B45" s="1170" t="s">
        <v>646</v>
      </c>
      <c r="C45" s="1171"/>
      <c r="D45" s="1172"/>
      <c r="E45" s="1173"/>
      <c r="F45" s="1172"/>
      <c r="G45" s="1174"/>
      <c r="H45" s="1170"/>
      <c r="I45" s="1170"/>
      <c r="J45" s="1325">
        <f>J5+J31+J42</f>
        <v>18.819599999999998</v>
      </c>
      <c r="K45" s="1325"/>
      <c r="L45" s="1325">
        <f>L31+L5</f>
        <v>328.70274000000001</v>
      </c>
      <c r="M45" s="1170"/>
      <c r="N45" s="1162"/>
      <c r="O45" s="1162"/>
      <c r="P45" s="1175"/>
      <c r="Q45" s="1175"/>
      <c r="R45" s="1175"/>
      <c r="S45" s="1175"/>
      <c r="T45" s="1176"/>
      <c r="U45" s="1175"/>
      <c r="V45" s="1444">
        <f>V31+V5</f>
        <v>320.09035</v>
      </c>
    </row>
    <row r="46" spans="1:22" s="1224" customFormat="1">
      <c r="A46" s="1183"/>
      <c r="B46" s="1184" t="s">
        <v>594</v>
      </c>
      <c r="C46" s="1183"/>
      <c r="D46" s="536"/>
      <c r="E46" s="1183"/>
      <c r="F46" s="1183"/>
      <c r="G46" s="1183"/>
      <c r="H46" s="1183"/>
      <c r="I46" s="1183"/>
      <c r="J46" s="1183"/>
      <c r="K46" s="1183"/>
      <c r="L46" s="1183"/>
      <c r="M46" s="1183"/>
      <c r="N46" s="1183"/>
      <c r="O46" s="1183"/>
      <c r="P46" s="1183"/>
      <c r="Q46" s="1187"/>
      <c r="R46" s="1187"/>
      <c r="S46" s="1187"/>
      <c r="T46" s="1187"/>
      <c r="U46" s="1187"/>
    </row>
    <row r="47" spans="1:22">
      <c r="A47" s="1189" t="s">
        <v>627</v>
      </c>
      <c r="B47" s="1190"/>
      <c r="C47" s="1191"/>
      <c r="D47" s="1192"/>
      <c r="E47" s="1250"/>
      <c r="F47" s="1192"/>
      <c r="G47" s="1200"/>
      <c r="H47" s="1190"/>
      <c r="I47" s="1201"/>
      <c r="J47" s="1201"/>
      <c r="K47" s="1201"/>
      <c r="L47" s="1201"/>
      <c r="M47" s="1201"/>
      <c r="N47" s="1198"/>
      <c r="O47" s="1198">
        <v>15</v>
      </c>
      <c r="P47" s="1196">
        <f>N47/O47</f>
        <v>0</v>
      </c>
      <c r="Q47" s="1197"/>
      <c r="R47" s="1196">
        <f>N47-N47/(O47*12)*Q47</f>
        <v>0</v>
      </c>
      <c r="S47" s="1196">
        <f>R47-P47</f>
        <v>0</v>
      </c>
      <c r="T47" s="1198"/>
      <c r="U47" s="1198"/>
    </row>
    <row r="48" spans="1:22">
      <c r="A48" s="1189" t="s">
        <v>628</v>
      </c>
      <c r="B48" s="1190"/>
      <c r="C48" s="1191"/>
      <c r="D48" s="1192"/>
      <c r="E48" s="1250"/>
      <c r="F48" s="1192"/>
      <c r="G48" s="1200"/>
      <c r="H48" s="1190"/>
      <c r="I48" s="1201"/>
      <c r="J48" s="1201"/>
      <c r="K48" s="1201"/>
      <c r="L48" s="1201"/>
      <c r="M48" s="1201"/>
      <c r="N48" s="1198"/>
      <c r="O48" s="1198">
        <v>15</v>
      </c>
      <c r="P48" s="1196">
        <f>N48/O48</f>
        <v>0</v>
      </c>
      <c r="Q48" s="1197"/>
      <c r="R48" s="1196">
        <f>N48-N48/(O48*12)*Q48</f>
        <v>0</v>
      </c>
      <c r="S48" s="1196">
        <f>R48-P48</f>
        <v>0</v>
      </c>
      <c r="T48" s="1198"/>
      <c r="U48" s="1198"/>
    </row>
    <row r="49" spans="1:21">
      <c r="A49" s="1189" t="s">
        <v>21</v>
      </c>
      <c r="B49" s="1190"/>
      <c r="C49" s="1202"/>
      <c r="D49" s="1192"/>
      <c r="E49" s="1250"/>
      <c r="F49" s="1192"/>
      <c r="G49" s="1200"/>
      <c r="H49" s="1190"/>
      <c r="I49" s="1201"/>
      <c r="J49" s="1201"/>
      <c r="K49" s="1201"/>
      <c r="L49" s="1201"/>
      <c r="M49" s="1201"/>
      <c r="N49" s="1198"/>
      <c r="O49" s="1198">
        <v>15</v>
      </c>
      <c r="P49" s="1196">
        <f>N49/O49</f>
        <v>0</v>
      </c>
      <c r="Q49" s="1197"/>
      <c r="R49" s="1196">
        <f>N49-N49/(O49*12)*Q49</f>
        <v>0</v>
      </c>
      <c r="S49" s="1196">
        <f>R49-P49</f>
        <v>0</v>
      </c>
      <c r="T49" s="1199"/>
      <c r="U49" s="1198"/>
    </row>
    <row r="50" spans="1:21">
      <c r="A50" s="1189" t="s">
        <v>629</v>
      </c>
      <c r="B50" s="1190"/>
      <c r="C50" s="1202"/>
      <c r="D50" s="1192"/>
      <c r="E50" s="1250"/>
      <c r="F50" s="1192"/>
      <c r="G50" s="1200"/>
      <c r="H50" s="1190"/>
      <c r="I50" s="1201"/>
      <c r="J50" s="1201"/>
      <c r="K50" s="1201"/>
      <c r="L50" s="1201"/>
      <c r="M50" s="1201"/>
      <c r="N50" s="1198"/>
      <c r="O50" s="1198">
        <v>15</v>
      </c>
      <c r="P50" s="1196">
        <f>N50/O50</f>
        <v>0</v>
      </c>
      <c r="Q50" s="1197"/>
      <c r="R50" s="1196">
        <f>N50-N50/(O50*12)*Q50</f>
        <v>0</v>
      </c>
      <c r="S50" s="1196">
        <f>R50-P50</f>
        <v>0</v>
      </c>
      <c r="T50" s="1199"/>
      <c r="U50" s="1198"/>
    </row>
    <row r="51" spans="1:21">
      <c r="A51" s="1203" t="s">
        <v>630</v>
      </c>
      <c r="B51" s="1204"/>
      <c r="C51" s="1205"/>
      <c r="D51" s="1206"/>
      <c r="E51" s="1251"/>
      <c r="F51" s="1206"/>
      <c r="G51" s="1207"/>
      <c r="H51" s="1204"/>
      <c r="I51" s="1208"/>
      <c r="J51" s="1208"/>
      <c r="K51" s="1208"/>
      <c r="L51" s="1208"/>
      <c r="M51" s="1208"/>
      <c r="N51" s="1209"/>
      <c r="O51" s="1209">
        <v>15</v>
      </c>
      <c r="P51" s="1210">
        <f>N51/O51</f>
        <v>0</v>
      </c>
      <c r="Q51" s="1211"/>
      <c r="R51" s="1210">
        <f>N51-N51/(O51*12)*Q51</f>
        <v>0</v>
      </c>
      <c r="S51" s="1210">
        <f>R51-P51</f>
        <v>0</v>
      </c>
      <c r="T51" s="1212"/>
      <c r="U51" s="1209"/>
    </row>
    <row r="52" spans="1:21" s="1224" customFormat="1">
      <c r="A52" s="463"/>
      <c r="B52" s="464" t="s">
        <v>646</v>
      </c>
      <c r="C52" s="464"/>
      <c r="D52" s="465"/>
      <c r="E52" s="466"/>
      <c r="F52" s="465"/>
      <c r="G52" s="467"/>
      <c r="H52" s="464"/>
      <c r="I52" s="470"/>
      <c r="J52" s="470"/>
      <c r="K52" s="470"/>
      <c r="L52" s="470"/>
      <c r="M52" s="470"/>
      <c r="N52" s="468"/>
      <c r="O52" s="468"/>
      <c r="P52" s="468"/>
      <c r="Q52" s="468"/>
      <c r="R52" s="468"/>
      <c r="S52" s="468"/>
      <c r="T52" s="469"/>
      <c r="U52" s="468"/>
    </row>
    <row r="53" spans="1:21">
      <c r="A53" s="1213"/>
      <c r="B53" s="1214"/>
      <c r="C53" s="1214"/>
      <c r="D53" s="1215"/>
      <c r="E53" s="1216"/>
      <c r="F53" s="1215"/>
      <c r="G53" s="1217"/>
      <c r="H53" s="1214"/>
      <c r="I53" s="1216"/>
      <c r="J53" s="1216"/>
      <c r="K53" s="1216"/>
      <c r="L53" s="1216"/>
      <c r="M53" s="1216"/>
      <c r="N53" s="1218"/>
      <c r="O53" s="1218"/>
      <c r="P53" s="1218"/>
      <c r="Q53" s="1219"/>
      <c r="R53" s="1218"/>
      <c r="S53" s="1218"/>
      <c r="T53" s="1220"/>
      <c r="U53" s="1218"/>
    </row>
    <row r="54" spans="1:21" s="1224" customFormat="1">
      <c r="A54" s="876"/>
      <c r="B54" s="233"/>
      <c r="C54" s="233"/>
      <c r="D54" s="233"/>
      <c r="E54" s="233"/>
      <c r="F54" s="233"/>
      <c r="G54" s="233"/>
      <c r="H54" s="233"/>
      <c r="I54" s="233"/>
      <c r="J54" s="1321"/>
      <c r="K54" s="1403"/>
      <c r="L54" s="1403"/>
      <c r="M54" s="233"/>
      <c r="N54" s="233"/>
      <c r="O54" s="233"/>
      <c r="P54" s="233"/>
      <c r="Q54" s="233"/>
      <c r="R54" s="233"/>
      <c r="S54" s="233"/>
      <c r="T54" s="1221"/>
      <c r="U54" s="233"/>
    </row>
    <row r="55" spans="1:21" ht="12.75" customHeight="1">
      <c r="A55" s="1607"/>
      <c r="B55" s="1607"/>
      <c r="C55" s="1607"/>
      <c r="D55" s="1607"/>
      <c r="E55" s="1607"/>
      <c r="F55" s="1607"/>
      <c r="G55" s="1607"/>
      <c r="H55" s="1607"/>
      <c r="I55" s="1607"/>
      <c r="M55" s="1607"/>
      <c r="N55" s="1607"/>
      <c r="P55" s="238"/>
      <c r="Q55" s="238"/>
      <c r="R55" s="238"/>
      <c r="S55" s="238"/>
      <c r="T55" s="238"/>
      <c r="U55" s="238"/>
    </row>
    <row r="56" spans="1:21" ht="27" customHeight="1">
      <c r="A56" s="1607"/>
      <c r="B56" s="1607"/>
      <c r="C56" s="1607"/>
      <c r="D56" s="1607"/>
      <c r="E56" s="1607"/>
      <c r="F56" s="1607"/>
      <c r="G56" s="1607"/>
      <c r="H56" s="1607"/>
      <c r="I56" s="1607"/>
      <c r="M56" s="1607"/>
      <c r="N56" s="1607"/>
    </row>
    <row r="57" spans="1:21">
      <c r="B57" s="1222"/>
      <c r="C57" s="1222"/>
      <c r="E57" s="1223"/>
      <c r="H57" s="1222"/>
      <c r="I57" s="1223"/>
      <c r="J57" s="1223"/>
      <c r="K57" s="1223"/>
      <c r="L57" s="1223"/>
      <c r="M57" s="1223"/>
      <c r="N57" s="1223"/>
    </row>
    <row r="58" spans="1:21">
      <c r="B58" s="1222"/>
      <c r="C58" s="1222"/>
      <c r="E58" s="1223"/>
      <c r="H58" s="1222"/>
      <c r="I58" s="1223"/>
      <c r="J58" s="1223"/>
      <c r="K58" s="1223"/>
      <c r="L58" s="1223"/>
      <c r="M58" s="1223"/>
      <c r="N58" s="1223"/>
    </row>
    <row r="59" spans="1:21">
      <c r="B59" s="1222"/>
      <c r="C59" s="1222"/>
      <c r="E59" s="1223"/>
      <c r="H59" s="1222"/>
      <c r="I59" s="1223"/>
      <c r="J59" s="1223"/>
      <c r="K59" s="1223"/>
      <c r="L59" s="1223"/>
      <c r="M59" s="1223"/>
      <c r="N59" s="1223"/>
    </row>
    <row r="60" spans="1:21">
      <c r="B60" s="1222"/>
      <c r="C60" s="1222"/>
      <c r="E60" s="1223"/>
      <c r="H60" s="1222"/>
      <c r="I60" s="1223"/>
      <c r="J60" s="1223"/>
      <c r="K60" s="1223"/>
      <c r="L60" s="1223"/>
      <c r="M60" s="1223"/>
      <c r="N60" s="1223"/>
    </row>
    <row r="71" ht="27.75" customHeight="1"/>
    <row r="87" ht="30" customHeight="1"/>
  </sheetData>
  <mergeCells count="24">
    <mergeCell ref="C3:C4"/>
    <mergeCell ref="E3:E4"/>
    <mergeCell ref="I3:I4"/>
    <mergeCell ref="M3:M4"/>
    <mergeCell ref="I55:I56"/>
    <mergeCell ref="K3:L3"/>
    <mergeCell ref="J3:J4"/>
    <mergeCell ref="M55:M56"/>
    <mergeCell ref="N55:N56"/>
    <mergeCell ref="N3:U3"/>
    <mergeCell ref="A3:A4"/>
    <mergeCell ref="D3:D4"/>
    <mergeCell ref="H55:H56"/>
    <mergeCell ref="F3:F4"/>
    <mergeCell ref="G3:G4"/>
    <mergeCell ref="H3:H4"/>
    <mergeCell ref="C55:C56"/>
    <mergeCell ref="D55:D56"/>
    <mergeCell ref="E55:E56"/>
    <mergeCell ref="F55:F56"/>
    <mergeCell ref="G55:G56"/>
    <mergeCell ref="B3:B4"/>
    <mergeCell ref="A55:A56"/>
    <mergeCell ref="B55:B56"/>
  </mergeCells>
  <pageMargins left="0.11811023622047245" right="0" top="0.94488188976377963" bottom="0.15748031496062992" header="0" footer="0"/>
  <pageSetup paperSize="9" scale="4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4:K11"/>
  <sheetViews>
    <sheetView workbookViewId="0"/>
  </sheetViews>
  <sheetFormatPr defaultRowHeight="12.75"/>
  <cols>
    <col min="2" max="2" width="24.28515625" customWidth="1"/>
    <col min="3" max="3" width="28.28515625" customWidth="1"/>
    <col min="4" max="4" width="25.7109375" customWidth="1"/>
    <col min="5" max="5" width="21" customWidth="1"/>
    <col min="6" max="6" width="19" customWidth="1"/>
    <col min="7" max="7" width="21.5703125" customWidth="1"/>
    <col min="8" max="8" width="20.140625" customWidth="1"/>
    <col min="9" max="9" width="20.5703125" customWidth="1"/>
    <col min="10" max="10" width="23.28515625" customWidth="1"/>
    <col min="11" max="11" width="32.7109375" customWidth="1"/>
  </cols>
  <sheetData>
    <row r="4" spans="1:11" ht="18.75">
      <c r="A4" s="472" t="s">
        <v>595</v>
      </c>
      <c r="B4" s="461"/>
      <c r="C4" s="471"/>
      <c r="D4" s="473"/>
      <c r="E4" s="471"/>
      <c r="F4" s="471"/>
      <c r="G4" s="471"/>
      <c r="H4" s="471"/>
      <c r="I4" s="474"/>
      <c r="J4" s="474"/>
      <c r="K4" s="471"/>
    </row>
    <row r="5" spans="1:11">
      <c r="A5" s="1614" t="s">
        <v>637</v>
      </c>
      <c r="B5" s="1618" t="s">
        <v>647</v>
      </c>
      <c r="C5" s="1615" t="s">
        <v>648</v>
      </c>
      <c r="D5" s="1614" t="s">
        <v>649</v>
      </c>
      <c r="E5" s="1614" t="s">
        <v>644</v>
      </c>
      <c r="F5" s="1614" t="s">
        <v>638</v>
      </c>
      <c r="G5" s="1614" t="s">
        <v>643</v>
      </c>
      <c r="H5" s="1614" t="s">
        <v>639</v>
      </c>
      <c r="I5" s="1614" t="s">
        <v>940</v>
      </c>
      <c r="J5" s="1616" t="s">
        <v>941</v>
      </c>
      <c r="K5" s="1618" t="s">
        <v>945</v>
      </c>
    </row>
    <row r="6" spans="1:11">
      <c r="A6" s="1615"/>
      <c r="B6" s="1618"/>
      <c r="C6" s="1618"/>
      <c r="D6" s="1615"/>
      <c r="E6" s="1615"/>
      <c r="F6" s="1615"/>
      <c r="G6" s="1615"/>
      <c r="H6" s="1615"/>
      <c r="I6" s="1615"/>
      <c r="J6" s="1617"/>
      <c r="K6" s="1618"/>
    </row>
    <row r="7" spans="1:11">
      <c r="A7" s="451" t="s">
        <v>628</v>
      </c>
      <c r="B7" s="454"/>
      <c r="C7" s="455"/>
      <c r="D7" s="452"/>
      <c r="E7" s="456"/>
      <c r="F7" s="452"/>
      <c r="G7" s="453"/>
      <c r="H7" s="454"/>
      <c r="I7" s="459"/>
      <c r="J7" s="459"/>
      <c r="K7" s="459"/>
    </row>
    <row r="8" spans="1:11">
      <c r="A8" s="451" t="s">
        <v>21</v>
      </c>
      <c r="B8" s="454"/>
      <c r="C8" s="457"/>
      <c r="D8" s="452"/>
      <c r="E8" s="458"/>
      <c r="F8" s="452"/>
      <c r="G8" s="453"/>
      <c r="H8" s="454"/>
      <c r="I8" s="459"/>
      <c r="J8" s="459"/>
      <c r="K8" s="459"/>
    </row>
    <row r="9" spans="1:11">
      <c r="A9" s="451" t="s">
        <v>629</v>
      </c>
      <c r="B9" s="454"/>
      <c r="C9" s="457"/>
      <c r="D9" s="452"/>
      <c r="E9" s="458"/>
      <c r="F9" s="452"/>
      <c r="G9" s="453"/>
      <c r="H9" s="454"/>
      <c r="I9" s="459"/>
      <c r="J9" s="459"/>
      <c r="K9" s="459"/>
    </row>
    <row r="10" spans="1:11">
      <c r="A10" s="451" t="s">
        <v>630</v>
      </c>
      <c r="B10" s="454"/>
      <c r="C10" s="457"/>
      <c r="D10" s="452"/>
      <c r="E10" s="458"/>
      <c r="F10" s="452"/>
      <c r="G10" s="453"/>
      <c r="H10" s="454"/>
      <c r="I10" s="459"/>
      <c r="J10" s="459"/>
      <c r="K10" s="459"/>
    </row>
    <row r="11" spans="1:11" ht="18.75">
      <c r="A11" s="463"/>
      <c r="B11" s="464" t="s">
        <v>646</v>
      </c>
      <c r="C11" s="464"/>
      <c r="D11" s="465"/>
      <c r="E11" s="466"/>
      <c r="F11" s="465"/>
      <c r="G11" s="467"/>
      <c r="H11" s="464"/>
      <c r="I11" s="470">
        <f>SUM(I7:I10)</f>
        <v>0</v>
      </c>
      <c r="J11" s="470">
        <f>SUM(J7:J10)</f>
        <v>0</v>
      </c>
      <c r="K11" s="470">
        <f>SUM(K7:K10)</f>
        <v>0</v>
      </c>
    </row>
  </sheetData>
  <mergeCells count="11">
    <mergeCell ref="F5:F6"/>
    <mergeCell ref="A5:A6"/>
    <mergeCell ref="B5:B6"/>
    <mergeCell ref="C5:C6"/>
    <mergeCell ref="D5:D6"/>
    <mergeCell ref="E5:E6"/>
    <mergeCell ref="G5:G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N28"/>
  <sheetViews>
    <sheetView workbookViewId="0">
      <selection activeCell="E6" sqref="E6"/>
    </sheetView>
  </sheetViews>
  <sheetFormatPr defaultRowHeight="12.75"/>
  <cols>
    <col min="1" max="1" width="52.140625" customWidth="1"/>
    <col min="2" max="2" width="17" customWidth="1"/>
    <col min="3" max="3" width="17" style="1312" customWidth="1"/>
    <col min="4" max="5" width="17" style="1406" customWidth="1"/>
    <col min="6" max="6" width="15.5703125" customWidth="1"/>
    <col min="7" max="8" width="0" hidden="1" customWidth="1"/>
    <col min="9" max="9" width="9.140625" customWidth="1"/>
  </cols>
  <sheetData>
    <row r="1" spans="1:14" ht="50.25" customHeight="1">
      <c r="A1" s="1597" t="s">
        <v>521</v>
      </c>
      <c r="B1" s="1597"/>
      <c r="C1" s="1597"/>
      <c r="D1" s="1597"/>
      <c r="E1" s="1597"/>
      <c r="F1" s="1597"/>
      <c r="G1" s="1597"/>
      <c r="I1" s="1289"/>
    </row>
    <row r="2" spans="1:14" ht="18.75">
      <c r="A2" s="287"/>
      <c r="B2" s="287"/>
      <c r="C2" s="1106"/>
      <c r="D2" s="1106"/>
      <c r="E2" s="1106"/>
      <c r="F2" s="287"/>
      <c r="G2" s="291" t="s">
        <v>533</v>
      </c>
      <c r="H2" s="279"/>
    </row>
    <row r="3" spans="1:14">
      <c r="A3" s="1565" t="s">
        <v>242</v>
      </c>
      <c r="B3" s="349">
        <v>2018</v>
      </c>
      <c r="C3" s="1309">
        <v>2018</v>
      </c>
      <c r="D3" s="1605">
        <v>2019</v>
      </c>
      <c r="E3" s="1606"/>
      <c r="F3" s="349">
        <v>2019</v>
      </c>
      <c r="G3" s="1566">
        <v>2020</v>
      </c>
      <c r="H3" s="1566"/>
      <c r="I3" s="1566">
        <v>2021</v>
      </c>
      <c r="J3" s="1566"/>
    </row>
    <row r="4" spans="1:14" ht="51">
      <c r="A4" s="1565"/>
      <c r="B4" s="328" t="s">
        <v>511</v>
      </c>
      <c r="C4" s="1311" t="s">
        <v>1426</v>
      </c>
      <c r="D4" s="1405" t="s">
        <v>511</v>
      </c>
      <c r="E4" s="1405" t="s">
        <v>1426</v>
      </c>
      <c r="F4" s="328" t="s">
        <v>512</v>
      </c>
      <c r="G4" s="328" t="s">
        <v>513</v>
      </c>
      <c r="H4" s="328" t="s">
        <v>514</v>
      </c>
      <c r="I4" s="1417" t="s">
        <v>513</v>
      </c>
      <c r="J4" s="1417" t="s">
        <v>514</v>
      </c>
    </row>
    <row r="5" spans="1:14">
      <c r="A5" s="329">
        <v>1</v>
      </c>
      <c r="B5" s="330">
        <v>3</v>
      </c>
      <c r="C5" s="330"/>
      <c r="D5" s="330"/>
      <c r="E5" s="330"/>
      <c r="F5" s="330">
        <v>4</v>
      </c>
      <c r="G5" s="330">
        <v>5</v>
      </c>
      <c r="H5" s="330">
        <v>6</v>
      </c>
      <c r="I5" s="330">
        <v>5</v>
      </c>
      <c r="J5" s="330">
        <v>6</v>
      </c>
    </row>
    <row r="6" spans="1:14" ht="23.25" customHeight="1">
      <c r="A6" s="336" t="s">
        <v>522</v>
      </c>
      <c r="B6" s="337">
        <v>40</v>
      </c>
      <c r="C6" s="337">
        <f>58*44846/65525</f>
        <v>39.695810759252197</v>
      </c>
      <c r="D6" s="337">
        <v>58</v>
      </c>
      <c r="E6" s="337">
        <f>58*N6</f>
        <v>41.914420057595628</v>
      </c>
      <c r="F6" s="339" t="s">
        <v>430</v>
      </c>
      <c r="G6" s="337">
        <v>40</v>
      </c>
      <c r="H6" s="337">
        <f>C6</f>
        <v>39.695810759252197</v>
      </c>
      <c r="I6" s="337">
        <v>58</v>
      </c>
      <c r="J6" s="337">
        <f>E6</f>
        <v>41.914420057595628</v>
      </c>
      <c r="K6" t="s">
        <v>1489</v>
      </c>
      <c r="N6">
        <f>44417/61463</f>
        <v>0.72266241478613147</v>
      </c>
    </row>
    <row r="7" spans="1:14" ht="23.25" customHeight="1">
      <c r="A7" s="331"/>
      <c r="B7" s="340"/>
      <c r="C7" s="340"/>
      <c r="D7" s="340"/>
      <c r="E7" s="340"/>
      <c r="F7" s="341"/>
      <c r="G7" s="340"/>
      <c r="H7" s="340"/>
      <c r="I7" s="340"/>
      <c r="J7" s="340"/>
    </row>
    <row r="8" spans="1:14" s="692" customFormat="1" ht="23.25" customHeight="1">
      <c r="A8" s="331" t="s">
        <v>523</v>
      </c>
      <c r="B8" s="710">
        <f>SUM(B9:B26)</f>
        <v>0</v>
      </c>
      <c r="C8" s="710"/>
      <c r="D8" s="710"/>
      <c r="E8" s="710"/>
      <c r="F8" s="713" t="s">
        <v>430</v>
      </c>
      <c r="G8" s="710">
        <f>SUM(G9:G26)</f>
        <v>0</v>
      </c>
      <c r="H8" s="710">
        <f>SUM(H9:H26)</f>
        <v>0</v>
      </c>
      <c r="I8" s="710">
        <f>SUM(I9:I26)</f>
        <v>0</v>
      </c>
      <c r="J8" s="710">
        <f>SUM(J9:J26)</f>
        <v>0</v>
      </c>
    </row>
    <row r="9" spans="1:14" s="692" customFormat="1" ht="23.25" customHeight="1">
      <c r="A9" s="342" t="s">
        <v>837</v>
      </c>
      <c r="B9" s="310"/>
      <c r="C9" s="310"/>
      <c r="D9" s="310"/>
      <c r="E9" s="310"/>
      <c r="F9" s="714" t="s">
        <v>430</v>
      </c>
      <c r="G9" s="310"/>
      <c r="H9" s="310"/>
      <c r="I9" s="310"/>
      <c r="J9" s="310"/>
    </row>
    <row r="10" spans="1:14" s="692" customFormat="1" ht="23.25" customHeight="1">
      <c r="A10" s="342" t="s">
        <v>837</v>
      </c>
      <c r="B10" s="310"/>
      <c r="C10" s="310"/>
      <c r="D10" s="310"/>
      <c r="E10" s="310"/>
      <c r="F10" s="714" t="s">
        <v>430</v>
      </c>
      <c r="G10" s="310"/>
      <c r="H10" s="310"/>
      <c r="I10" s="310"/>
      <c r="J10" s="310"/>
    </row>
    <row r="11" spans="1:14" s="692" customFormat="1" ht="23.25" customHeight="1">
      <c r="A11" s="342" t="s">
        <v>837</v>
      </c>
      <c r="B11" s="310"/>
      <c r="C11" s="310"/>
      <c r="D11" s="310"/>
      <c r="E11" s="310"/>
      <c r="F11" s="714" t="s">
        <v>430</v>
      </c>
      <c r="G11" s="310"/>
      <c r="H11" s="310"/>
      <c r="I11" s="310"/>
      <c r="J11" s="310"/>
    </row>
    <row r="12" spans="1:14" s="692" customFormat="1" ht="23.25" customHeight="1">
      <c r="A12" s="342" t="s">
        <v>837</v>
      </c>
      <c r="B12" s="310"/>
      <c r="C12" s="310"/>
      <c r="D12" s="310"/>
      <c r="E12" s="310"/>
      <c r="F12" s="714" t="s">
        <v>430</v>
      </c>
      <c r="G12" s="310"/>
      <c r="H12" s="310"/>
      <c r="I12" s="310"/>
      <c r="J12" s="310"/>
    </row>
    <row r="13" spans="1:14" s="692" customFormat="1" ht="23.25" customHeight="1">
      <c r="A13" s="342" t="s">
        <v>837</v>
      </c>
      <c r="B13" s="310"/>
      <c r="C13" s="310"/>
      <c r="D13" s="310"/>
      <c r="E13" s="310"/>
      <c r="F13" s="714" t="s">
        <v>430</v>
      </c>
      <c r="G13" s="310"/>
      <c r="H13" s="310"/>
      <c r="I13" s="310"/>
      <c r="J13" s="310"/>
    </row>
    <row r="14" spans="1:14" s="692" customFormat="1" ht="23.25" customHeight="1">
      <c r="A14" s="342" t="s">
        <v>837</v>
      </c>
      <c r="B14" s="310"/>
      <c r="C14" s="310"/>
      <c r="D14" s="310"/>
      <c r="E14" s="310"/>
      <c r="F14" s="714" t="s">
        <v>430</v>
      </c>
      <c r="G14" s="310"/>
      <c r="H14" s="310"/>
      <c r="I14" s="310"/>
      <c r="J14" s="310"/>
    </row>
    <row r="15" spans="1:14" s="692" customFormat="1" ht="23.25" customHeight="1">
      <c r="A15" s="342" t="s">
        <v>837</v>
      </c>
      <c r="B15" s="310"/>
      <c r="C15" s="310"/>
      <c r="D15" s="310"/>
      <c r="E15" s="310"/>
      <c r="F15" s="714" t="s">
        <v>430</v>
      </c>
      <c r="G15" s="310"/>
      <c r="H15" s="310"/>
      <c r="I15" s="310"/>
      <c r="J15" s="310"/>
    </row>
    <row r="16" spans="1:14" s="692" customFormat="1" ht="23.25" customHeight="1">
      <c r="A16" s="342" t="s">
        <v>837</v>
      </c>
      <c r="B16" s="310"/>
      <c r="C16" s="310"/>
      <c r="D16" s="310"/>
      <c r="E16" s="310"/>
      <c r="F16" s="714" t="s">
        <v>430</v>
      </c>
      <c r="G16" s="310"/>
      <c r="H16" s="310"/>
      <c r="I16" s="310"/>
      <c r="J16" s="310"/>
    </row>
    <row r="17" spans="1:10" s="692" customFormat="1" ht="23.25" customHeight="1">
      <c r="A17" s="342" t="s">
        <v>837</v>
      </c>
      <c r="B17" s="310"/>
      <c r="C17" s="310"/>
      <c r="D17" s="310"/>
      <c r="E17" s="310"/>
      <c r="F17" s="714" t="s">
        <v>430</v>
      </c>
      <c r="G17" s="310"/>
      <c r="H17" s="310"/>
      <c r="I17" s="310"/>
      <c r="J17" s="310"/>
    </row>
    <row r="18" spans="1:10" s="692" customFormat="1" ht="23.25" customHeight="1">
      <c r="A18" s="342" t="s">
        <v>837</v>
      </c>
      <c r="B18" s="310"/>
      <c r="C18" s="310"/>
      <c r="D18" s="310"/>
      <c r="E18" s="310"/>
      <c r="F18" s="714" t="s">
        <v>430</v>
      </c>
      <c r="G18" s="310"/>
      <c r="H18" s="310"/>
      <c r="I18" s="310"/>
      <c r="J18" s="310"/>
    </row>
    <row r="19" spans="1:10" s="692" customFormat="1" ht="23.25" customHeight="1">
      <c r="A19" s="342" t="s">
        <v>837</v>
      </c>
      <c r="B19" s="310"/>
      <c r="C19" s="310"/>
      <c r="D19" s="310"/>
      <c r="E19" s="310"/>
      <c r="F19" s="714" t="s">
        <v>430</v>
      </c>
      <c r="G19" s="310"/>
      <c r="H19" s="310"/>
      <c r="I19" s="310"/>
      <c r="J19" s="310"/>
    </row>
    <row r="20" spans="1:10" s="692" customFormat="1" ht="23.25" customHeight="1">
      <c r="A20" s="342" t="s">
        <v>837</v>
      </c>
      <c r="B20" s="310"/>
      <c r="C20" s="310"/>
      <c r="D20" s="310"/>
      <c r="E20" s="310"/>
      <c r="F20" s="714" t="s">
        <v>430</v>
      </c>
      <c r="G20" s="310"/>
      <c r="H20" s="310"/>
      <c r="I20" s="310"/>
      <c r="J20" s="310"/>
    </row>
    <row r="21" spans="1:10" s="692" customFormat="1" ht="23.25" customHeight="1">
      <c r="A21" s="342" t="s">
        <v>837</v>
      </c>
      <c r="B21" s="310"/>
      <c r="C21" s="310"/>
      <c r="D21" s="310"/>
      <c r="E21" s="310"/>
      <c r="F21" s="714" t="s">
        <v>430</v>
      </c>
      <c r="G21" s="310"/>
      <c r="H21" s="310"/>
      <c r="I21" s="310"/>
      <c r="J21" s="310"/>
    </row>
    <row r="22" spans="1:10" s="692" customFormat="1" ht="23.25" customHeight="1">
      <c r="A22" s="342" t="s">
        <v>837</v>
      </c>
      <c r="B22" s="310"/>
      <c r="C22" s="310"/>
      <c r="D22" s="310"/>
      <c r="E22" s="310"/>
      <c r="F22" s="714" t="s">
        <v>430</v>
      </c>
      <c r="G22" s="310"/>
      <c r="H22" s="310"/>
      <c r="I22" s="310"/>
      <c r="J22" s="310"/>
    </row>
    <row r="23" spans="1:10" s="692" customFormat="1" ht="23.25" customHeight="1">
      <c r="A23" s="342" t="s">
        <v>837</v>
      </c>
      <c r="B23" s="310"/>
      <c r="C23" s="310"/>
      <c r="D23" s="310"/>
      <c r="E23" s="310"/>
      <c r="F23" s="714" t="s">
        <v>430</v>
      </c>
      <c r="G23" s="310"/>
      <c r="H23" s="310"/>
      <c r="I23" s="310"/>
      <c r="J23" s="310"/>
    </row>
    <row r="24" spans="1:10" s="692" customFormat="1" ht="23.25" customHeight="1">
      <c r="A24" s="342" t="s">
        <v>837</v>
      </c>
      <c r="B24" s="310"/>
      <c r="C24" s="310"/>
      <c r="D24" s="310"/>
      <c r="E24" s="310"/>
      <c r="F24" s="714" t="s">
        <v>430</v>
      </c>
      <c r="G24" s="310"/>
      <c r="H24" s="310"/>
      <c r="I24" s="310"/>
      <c r="J24" s="310"/>
    </row>
    <row r="25" spans="1:10" s="692" customFormat="1" ht="23.25" customHeight="1">
      <c r="A25" s="342" t="s">
        <v>837</v>
      </c>
      <c r="B25" s="310"/>
      <c r="C25" s="310"/>
      <c r="D25" s="310"/>
      <c r="E25" s="310"/>
      <c r="F25" s="714" t="s">
        <v>430</v>
      </c>
      <c r="G25" s="310"/>
      <c r="H25" s="310"/>
      <c r="I25" s="310"/>
      <c r="J25" s="310"/>
    </row>
    <row r="26" spans="1:10" s="692" customFormat="1" ht="23.25" customHeight="1">
      <c r="A26" s="342" t="s">
        <v>837</v>
      </c>
      <c r="B26" s="310"/>
      <c r="C26" s="310"/>
      <c r="D26" s="310"/>
      <c r="E26" s="310"/>
      <c r="F26" s="714" t="s">
        <v>430</v>
      </c>
      <c r="G26" s="310"/>
      <c r="H26" s="310"/>
      <c r="I26" s="310"/>
      <c r="J26" s="310"/>
    </row>
    <row r="27" spans="1:10" s="692" customFormat="1" ht="23.25" customHeight="1">
      <c r="A27" s="1619"/>
      <c r="B27" s="1620"/>
      <c r="C27" s="1620"/>
      <c r="D27" s="1620"/>
      <c r="E27" s="1620"/>
      <c r="F27" s="1620"/>
      <c r="G27" s="1620"/>
      <c r="H27" s="1620"/>
    </row>
    <row r="28" spans="1:10" s="692" customFormat="1" ht="23.25" customHeight="1">
      <c r="A28" s="544" t="s">
        <v>524</v>
      </c>
      <c r="B28" s="703">
        <f>B6+B8</f>
        <v>40</v>
      </c>
      <c r="C28" s="703"/>
      <c r="D28" s="703"/>
      <c r="E28" s="703"/>
      <c r="F28" s="797"/>
      <c r="G28" s="703">
        <f>G6+G8</f>
        <v>40</v>
      </c>
      <c r="H28" s="703">
        <f>H6+H8</f>
        <v>39.695810759252197</v>
      </c>
    </row>
  </sheetData>
  <protectedRanges>
    <protectedRange sqref="B6:G6 A9:G26 I6 I9:I26" name="Диапазон1"/>
  </protectedRanges>
  <mergeCells count="6">
    <mergeCell ref="I3:J3"/>
    <mergeCell ref="A3:A4"/>
    <mergeCell ref="G3:H3"/>
    <mergeCell ref="A27:H27"/>
    <mergeCell ref="A1:G1"/>
    <mergeCell ref="D3:E3"/>
  </mergeCells>
  <pageMargins left="0.9055118110236221" right="0" top="0.15748031496062992" bottom="0" header="0" footer="0"/>
  <pageSetup paperSize="9" scale="87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G26"/>
  <sheetViews>
    <sheetView workbookViewId="0">
      <selection sqref="A1:E1"/>
    </sheetView>
  </sheetViews>
  <sheetFormatPr defaultRowHeight="12.75"/>
  <cols>
    <col min="1" max="1" width="58.5703125" customWidth="1"/>
    <col min="2" max="2" width="9.85546875" customWidth="1"/>
    <col min="3" max="5" width="11.42578125" customWidth="1"/>
    <col min="6" max="6" width="4.42578125" customWidth="1"/>
  </cols>
  <sheetData>
    <row r="1" spans="1:7" ht="38.25" customHeight="1">
      <c r="A1" s="1621" t="s">
        <v>452</v>
      </c>
      <c r="B1" s="1621"/>
      <c r="C1" s="1621"/>
      <c r="D1" s="1621"/>
      <c r="E1" s="1621"/>
      <c r="F1" s="1291">
        <v>29</v>
      </c>
    </row>
    <row r="2" spans="1:7" ht="15.75">
      <c r="A2" s="280"/>
      <c r="B2" s="280"/>
      <c r="C2" s="280"/>
      <c r="D2" s="291" t="s">
        <v>533</v>
      </c>
      <c r="E2" s="279"/>
    </row>
    <row r="3" spans="1:7">
      <c r="A3" s="1565" t="s">
        <v>242</v>
      </c>
      <c r="B3" s="349">
        <v>2018</v>
      </c>
      <c r="C3" s="349">
        <v>2019</v>
      </c>
      <c r="D3" s="1566">
        <v>2020</v>
      </c>
      <c r="E3" s="1566"/>
    </row>
    <row r="4" spans="1:7" ht="25.5">
      <c r="A4" s="1565"/>
      <c r="B4" s="328" t="s">
        <v>511</v>
      </c>
      <c r="C4" s="328" t="s">
        <v>512</v>
      </c>
      <c r="D4" s="328" t="s">
        <v>513</v>
      </c>
      <c r="E4" s="328" t="s">
        <v>514</v>
      </c>
    </row>
    <row r="5" spans="1:7">
      <c r="A5" s="329">
        <v>1</v>
      </c>
      <c r="B5" s="330">
        <v>3</v>
      </c>
      <c r="C5" s="330">
        <v>4</v>
      </c>
      <c r="D5" s="330">
        <v>5</v>
      </c>
      <c r="E5" s="330">
        <v>6</v>
      </c>
    </row>
    <row r="6" spans="1:7" s="692" customFormat="1" ht="31.5" customHeight="1">
      <c r="A6" s="715" t="s">
        <v>534</v>
      </c>
      <c r="B6" s="310"/>
      <c r="C6" s="310"/>
      <c r="D6" s="310"/>
      <c r="E6" s="310"/>
    </row>
    <row r="7" spans="1:7" s="692" customFormat="1" ht="17.25" customHeight="1">
      <c r="A7" s="716" t="s">
        <v>535</v>
      </c>
      <c r="B7" s="310"/>
      <c r="C7" s="717"/>
      <c r="D7" s="310"/>
      <c r="E7" s="310"/>
    </row>
    <row r="8" spans="1:7" s="692" customFormat="1" ht="17.25" customHeight="1">
      <c r="A8" s="716" t="s">
        <v>536</v>
      </c>
      <c r="B8" s="310"/>
      <c r="C8" s="717"/>
      <c r="D8" s="310"/>
      <c r="E8" s="310"/>
      <c r="G8" s="1290"/>
    </row>
    <row r="9" spans="1:7" s="692" customFormat="1" ht="17.25" customHeight="1">
      <c r="A9" s="715" t="s">
        <v>537</v>
      </c>
      <c r="B9" s="718" t="s">
        <v>246</v>
      </c>
      <c r="C9" s="719"/>
      <c r="D9" s="720"/>
      <c r="E9" s="720"/>
      <c r="G9" s="1290"/>
    </row>
    <row r="10" spans="1:7" s="692" customFormat="1" ht="33.75" customHeight="1">
      <c r="A10" s="544" t="s">
        <v>538</v>
      </c>
      <c r="B10" s="310"/>
      <c r="C10" s="310"/>
      <c r="D10" s="703">
        <f>D7*2.2%+D8*D9</f>
        <v>0</v>
      </c>
      <c r="E10" s="703">
        <f>E7*2.2%+E8*E9</f>
        <v>0</v>
      </c>
    </row>
    <row r="11" spans="1:7" s="692" customFormat="1" ht="17.25" customHeight="1">
      <c r="A11" s="544" t="s">
        <v>382</v>
      </c>
      <c r="B11" s="721"/>
      <c r="C11" s="297"/>
      <c r="D11" s="722"/>
      <c r="E11" s="722"/>
    </row>
    <row r="12" spans="1:7" s="692" customFormat="1" ht="17.25" customHeight="1">
      <c r="A12" s="544" t="s">
        <v>392</v>
      </c>
      <c r="B12" s="721"/>
      <c r="C12" s="297"/>
      <c r="D12" s="722"/>
      <c r="E12" s="722"/>
    </row>
    <row r="13" spans="1:7" s="692" customFormat="1" ht="17.25" customHeight="1">
      <c r="A13" s="544" t="s">
        <v>539</v>
      </c>
      <c r="B13" s="721"/>
      <c r="C13" s="297"/>
      <c r="D13" s="722"/>
      <c r="E13" s="722"/>
    </row>
    <row r="14" spans="1:7" s="692" customFormat="1" ht="17.25" customHeight="1">
      <c r="A14" s="544" t="s">
        <v>399</v>
      </c>
      <c r="B14" s="721"/>
      <c r="C14" s="297"/>
      <c r="D14" s="722"/>
      <c r="E14" s="722"/>
    </row>
    <row r="15" spans="1:7" s="692" customFormat="1" ht="17.25" customHeight="1">
      <c r="A15" s="544" t="s">
        <v>540</v>
      </c>
      <c r="B15" s="723">
        <f>SUM(B11:B14)</f>
        <v>0</v>
      </c>
      <c r="C15" s="723">
        <f>SUM(C11:C14)</f>
        <v>0</v>
      </c>
      <c r="D15" s="723">
        <f>SUM(D11:D14)</f>
        <v>0</v>
      </c>
      <c r="E15" s="723">
        <f>SUM(E11:E14)</f>
        <v>0</v>
      </c>
    </row>
    <row r="21" spans="2:2">
      <c r="B21" s="546"/>
    </row>
    <row r="22" spans="2:2">
      <c r="B22" s="767"/>
    </row>
    <row r="23" spans="2:2">
      <c r="B23" s="768"/>
    </row>
    <row r="24" spans="2:2">
      <c r="B24" s="546"/>
    </row>
    <row r="25" spans="2:2">
      <c r="B25" s="767"/>
    </row>
    <row r="26" spans="2:2">
      <c r="B26" s="768"/>
    </row>
  </sheetData>
  <protectedRanges>
    <protectedRange sqref="D6 B11:D15 B6:B10" name="Диапазон1"/>
    <protectedRange sqref="D7:D9" name="Диапазон1_1"/>
  </protectedRanges>
  <mergeCells count="3">
    <mergeCell ref="A1:E1"/>
    <mergeCell ref="A3:A4"/>
    <mergeCell ref="D3:E3"/>
  </mergeCells>
  <pageMargins left="0.70866141732283472" right="0" top="0" bottom="0.74803149606299213" header="0" footer="0.31496062992125984"/>
  <pageSetup paperSize="9" scale="8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R34"/>
  <sheetViews>
    <sheetView topLeftCell="A4" workbookViewId="0">
      <selection activeCell="P34" sqref="P34"/>
    </sheetView>
  </sheetViews>
  <sheetFormatPr defaultRowHeight="12.75"/>
  <cols>
    <col min="1" max="1" width="32.140625" customWidth="1"/>
    <col min="2" max="2" width="15.28515625" customWidth="1"/>
    <col min="3" max="3" width="14.42578125" customWidth="1"/>
    <col min="6" max="7" width="9.140625" style="1406"/>
    <col min="13" max="13" width="9.140625" customWidth="1"/>
    <col min="14" max="16" width="9.140625" style="1419" customWidth="1"/>
  </cols>
  <sheetData>
    <row r="1" spans="1:18" ht="88.5" customHeight="1">
      <c r="A1" s="1629" t="s">
        <v>525</v>
      </c>
      <c r="B1" s="1629"/>
      <c r="C1" s="1629"/>
      <c r="D1" s="1629"/>
      <c r="E1" s="1629"/>
      <c r="F1" s="1629"/>
      <c r="G1" s="1629"/>
      <c r="H1" s="1629"/>
      <c r="I1" s="1629"/>
      <c r="J1" s="1629"/>
      <c r="K1" s="1629"/>
      <c r="L1" s="1629"/>
      <c r="M1" s="1291"/>
      <c r="N1" s="1291"/>
      <c r="O1" s="1291"/>
      <c r="P1" s="1291"/>
    </row>
    <row r="2" spans="1:18" ht="18.75">
      <c r="A2" s="288"/>
      <c r="B2" s="288"/>
      <c r="C2" s="288"/>
      <c r="D2" s="288"/>
      <c r="E2" s="288"/>
      <c r="F2" s="288"/>
      <c r="G2" s="288"/>
      <c r="H2" s="288"/>
      <c r="I2" s="288"/>
      <c r="J2" s="291"/>
      <c r="K2" s="291" t="s">
        <v>533</v>
      </c>
      <c r="L2" s="279"/>
    </row>
    <row r="3" spans="1:18" ht="12.75" customHeight="1">
      <c r="A3" s="1630" t="s">
        <v>526</v>
      </c>
      <c r="B3" s="1630" t="s">
        <v>527</v>
      </c>
      <c r="C3" s="1630" t="s">
        <v>528</v>
      </c>
      <c r="D3" s="1627" t="s">
        <v>910</v>
      </c>
      <c r="E3" s="1628"/>
      <c r="F3" s="1631">
        <v>2019</v>
      </c>
      <c r="G3" s="1632"/>
      <c r="H3" s="1627" t="s">
        <v>947</v>
      </c>
      <c r="I3" s="1622" t="s">
        <v>946</v>
      </c>
      <c r="J3" s="1623"/>
      <c r="K3" s="1623"/>
      <c r="L3" s="1624"/>
      <c r="M3" s="1622" t="s">
        <v>1488</v>
      </c>
      <c r="N3" s="1623"/>
      <c r="O3" s="1623"/>
      <c r="P3" s="1624"/>
    </row>
    <row r="4" spans="1:18" ht="51">
      <c r="A4" s="1630"/>
      <c r="B4" s="1630"/>
      <c r="C4" s="1630"/>
      <c r="D4" s="333" t="s">
        <v>529</v>
      </c>
      <c r="E4" s="333" t="s">
        <v>530</v>
      </c>
      <c r="F4" s="333" t="s">
        <v>511</v>
      </c>
      <c r="G4" s="333" t="s">
        <v>1426</v>
      </c>
      <c r="H4" s="1627"/>
      <c r="I4" s="586" t="s">
        <v>528</v>
      </c>
      <c r="J4" s="333" t="s">
        <v>529</v>
      </c>
      <c r="K4" s="333" t="s">
        <v>531</v>
      </c>
      <c r="L4" s="333" t="s">
        <v>532</v>
      </c>
      <c r="M4" s="1416" t="s">
        <v>528</v>
      </c>
      <c r="N4" s="333" t="s">
        <v>529</v>
      </c>
      <c r="O4" s="333" t="s">
        <v>531</v>
      </c>
      <c r="P4" s="333" t="s">
        <v>532</v>
      </c>
    </row>
    <row r="5" spans="1:18">
      <c r="A5" s="334">
        <v>1</v>
      </c>
      <c r="B5" s="334">
        <v>2</v>
      </c>
      <c r="C5" s="334">
        <v>3</v>
      </c>
      <c r="D5" s="334">
        <v>5</v>
      </c>
      <c r="E5" s="334">
        <v>6</v>
      </c>
      <c r="F5" s="334"/>
      <c r="G5" s="334"/>
      <c r="H5" s="334">
        <v>7</v>
      </c>
      <c r="I5" s="334"/>
      <c r="J5" s="334">
        <v>8</v>
      </c>
      <c r="K5" s="334">
        <v>9</v>
      </c>
      <c r="L5" s="335">
        <v>10</v>
      </c>
      <c r="M5" s="334"/>
      <c r="N5" s="334">
        <v>8</v>
      </c>
      <c r="O5" s="334">
        <v>9</v>
      </c>
      <c r="P5" s="335">
        <v>10</v>
      </c>
    </row>
    <row r="6" spans="1:18" s="1" customFormat="1">
      <c r="A6" s="724" t="s">
        <v>1358</v>
      </c>
      <c r="B6" s="725">
        <v>75</v>
      </c>
      <c r="C6" s="725">
        <v>25</v>
      </c>
      <c r="D6" s="1079">
        <v>0.2</v>
      </c>
      <c r="E6" s="1316">
        <f t="shared" ref="E6:E23" si="0">B6*C6*D6/1000</f>
        <v>0.375</v>
      </c>
      <c r="F6" s="1316"/>
      <c r="G6" s="1439">
        <f>1.875*D6</f>
        <v>0.375</v>
      </c>
      <c r="H6" s="727"/>
      <c r="I6" s="727">
        <f t="shared" ref="I6:I24" si="1">C6</f>
        <v>25</v>
      </c>
      <c r="J6" s="727">
        <f t="shared" ref="J6:J24" si="2">D6</f>
        <v>0.2</v>
      </c>
      <c r="K6" s="726">
        <f t="shared" ref="K6:K32" si="3">B6*I6*J6/1000</f>
        <v>0.375</v>
      </c>
      <c r="L6" s="727"/>
      <c r="M6" s="727">
        <f>C6</f>
        <v>25</v>
      </c>
      <c r="N6" s="727">
        <f>D6</f>
        <v>0.2</v>
      </c>
      <c r="O6" s="1421">
        <v>0.375</v>
      </c>
      <c r="P6" s="1420">
        <f>G6</f>
        <v>0.375</v>
      </c>
      <c r="R6" s="1138">
        <f>P6-G6</f>
        <v>0</v>
      </c>
    </row>
    <row r="7" spans="1:18" s="1" customFormat="1">
      <c r="A7" s="724" t="s">
        <v>1359</v>
      </c>
      <c r="B7" s="725">
        <v>90</v>
      </c>
      <c r="C7" s="725">
        <v>25</v>
      </c>
      <c r="D7" s="1079">
        <v>0.05</v>
      </c>
      <c r="E7" s="1315">
        <f t="shared" si="0"/>
        <v>0.1125</v>
      </c>
      <c r="F7" s="1315"/>
      <c r="G7" s="1439">
        <f>2.25*D7</f>
        <v>0.1125</v>
      </c>
      <c r="H7" s="727"/>
      <c r="I7" s="727">
        <f t="shared" si="1"/>
        <v>25</v>
      </c>
      <c r="J7" s="727">
        <f t="shared" si="2"/>
        <v>0.05</v>
      </c>
      <c r="K7" s="726">
        <f t="shared" si="3"/>
        <v>0.1125</v>
      </c>
      <c r="L7" s="727"/>
      <c r="M7" s="727">
        <f t="shared" ref="M7:M24" si="4">C7</f>
        <v>25</v>
      </c>
      <c r="N7" s="727">
        <f t="shared" ref="N7:N16" si="5">D7</f>
        <v>0.05</v>
      </c>
      <c r="O7" s="1421">
        <v>0.1125</v>
      </c>
      <c r="P7" s="1420">
        <f t="shared" ref="P7:P24" si="6">G7</f>
        <v>0.1125</v>
      </c>
      <c r="R7" s="1138">
        <f t="shared" ref="R7:R24" si="7">P7-G7</f>
        <v>0</v>
      </c>
    </row>
    <row r="8" spans="1:18" s="1" customFormat="1">
      <c r="A8" s="724" t="s">
        <v>1360</v>
      </c>
      <c r="B8" s="725">
        <v>135</v>
      </c>
      <c r="C8" s="725">
        <v>25</v>
      </c>
      <c r="D8" s="1079">
        <v>0.05</v>
      </c>
      <c r="E8" s="1316">
        <f t="shared" si="0"/>
        <v>0.16875000000000001</v>
      </c>
      <c r="F8" s="1316"/>
      <c r="G8" s="1439">
        <f>3.375*D8</f>
        <v>0.16875000000000001</v>
      </c>
      <c r="H8" s="727"/>
      <c r="I8" s="727">
        <f t="shared" si="1"/>
        <v>25</v>
      </c>
      <c r="J8" s="727">
        <f t="shared" si="2"/>
        <v>0.05</v>
      </c>
      <c r="K8" s="726">
        <f t="shared" si="3"/>
        <v>0.16875000000000001</v>
      </c>
      <c r="L8" s="727"/>
      <c r="M8" s="727">
        <f t="shared" si="4"/>
        <v>25</v>
      </c>
      <c r="N8" s="727">
        <f t="shared" si="5"/>
        <v>0.05</v>
      </c>
      <c r="O8" s="1421">
        <v>0.16875000000000001</v>
      </c>
      <c r="P8" s="1420">
        <f t="shared" si="6"/>
        <v>0.16875000000000001</v>
      </c>
      <c r="R8" s="1138">
        <f t="shared" si="7"/>
        <v>0</v>
      </c>
    </row>
    <row r="9" spans="1:18" s="1" customFormat="1">
      <c r="A9" s="724" t="s">
        <v>1361</v>
      </c>
      <c r="B9" s="725">
        <v>78</v>
      </c>
      <c r="C9" s="725">
        <v>25</v>
      </c>
      <c r="D9" s="1079">
        <v>1</v>
      </c>
      <c r="E9" s="1314">
        <f t="shared" si="0"/>
        <v>1.95</v>
      </c>
      <c r="F9" s="1314"/>
      <c r="G9" s="1439">
        <f>1.95*D9</f>
        <v>1.95</v>
      </c>
      <c r="H9" s="727"/>
      <c r="I9" s="727">
        <f t="shared" si="1"/>
        <v>25</v>
      </c>
      <c r="J9" s="727">
        <f t="shared" si="2"/>
        <v>1</v>
      </c>
      <c r="K9" s="726">
        <f t="shared" si="3"/>
        <v>1.95</v>
      </c>
      <c r="L9" s="727"/>
      <c r="M9" s="727">
        <f t="shared" si="4"/>
        <v>25</v>
      </c>
      <c r="N9" s="727">
        <f t="shared" si="5"/>
        <v>1</v>
      </c>
      <c r="O9" s="1421">
        <v>1.95</v>
      </c>
      <c r="P9" s="1420">
        <f t="shared" si="6"/>
        <v>1.95</v>
      </c>
      <c r="R9" s="1138">
        <f t="shared" si="7"/>
        <v>0</v>
      </c>
    </row>
    <row r="10" spans="1:18" s="1" customFormat="1">
      <c r="A10" s="724" t="s">
        <v>1362</v>
      </c>
      <c r="B10" s="725">
        <v>72.8</v>
      </c>
      <c r="C10" s="725">
        <v>10</v>
      </c>
      <c r="D10" s="1079">
        <v>1</v>
      </c>
      <c r="E10" s="1316">
        <f t="shared" si="0"/>
        <v>0.72799999999999998</v>
      </c>
      <c r="F10" s="1316"/>
      <c r="G10" s="1439">
        <f>0.728*D10</f>
        <v>0.72799999999999998</v>
      </c>
      <c r="H10" s="727"/>
      <c r="I10" s="727">
        <f t="shared" si="1"/>
        <v>10</v>
      </c>
      <c r="J10" s="727">
        <f t="shared" si="2"/>
        <v>1</v>
      </c>
      <c r="K10" s="726">
        <f t="shared" si="3"/>
        <v>0.72799999999999998</v>
      </c>
      <c r="L10" s="727"/>
      <c r="M10" s="727">
        <f t="shared" si="4"/>
        <v>10</v>
      </c>
      <c r="N10" s="727">
        <f t="shared" si="5"/>
        <v>1</v>
      </c>
      <c r="O10" s="1421">
        <v>0.72799999999999998</v>
      </c>
      <c r="P10" s="1420">
        <f t="shared" si="6"/>
        <v>0.72799999999999998</v>
      </c>
      <c r="R10" s="1138">
        <f t="shared" si="7"/>
        <v>0</v>
      </c>
    </row>
    <row r="11" spans="1:18" s="1" customFormat="1">
      <c r="A11" s="724" t="s">
        <v>1363</v>
      </c>
      <c r="B11" s="725">
        <v>84</v>
      </c>
      <c r="C11" s="725">
        <v>10</v>
      </c>
      <c r="D11" s="1079">
        <v>1</v>
      </c>
      <c r="E11" s="1316">
        <f t="shared" si="0"/>
        <v>0.84</v>
      </c>
      <c r="F11" s="1316"/>
      <c r="G11" s="1439">
        <f>0.84*D11</f>
        <v>0.84</v>
      </c>
      <c r="H11" s="727"/>
      <c r="I11" s="727">
        <f t="shared" si="1"/>
        <v>10</v>
      </c>
      <c r="J11" s="727">
        <f t="shared" si="2"/>
        <v>1</v>
      </c>
      <c r="K11" s="726">
        <f t="shared" si="3"/>
        <v>0.84</v>
      </c>
      <c r="L11" s="727"/>
      <c r="M11" s="727">
        <f t="shared" si="4"/>
        <v>10</v>
      </c>
      <c r="N11" s="727">
        <f t="shared" si="5"/>
        <v>1</v>
      </c>
      <c r="O11" s="1421">
        <v>0.84</v>
      </c>
      <c r="P11" s="1420">
        <f t="shared" si="6"/>
        <v>0.84</v>
      </c>
      <c r="R11" s="1138">
        <f t="shared" si="7"/>
        <v>0</v>
      </c>
    </row>
    <row r="12" spans="1:18" s="1" customFormat="1">
      <c r="A12" s="724" t="s">
        <v>1364</v>
      </c>
      <c r="B12" s="725">
        <v>99</v>
      </c>
      <c r="C12" s="725">
        <v>20</v>
      </c>
      <c r="D12" s="1079">
        <v>1</v>
      </c>
      <c r="E12" s="1316">
        <f t="shared" si="0"/>
        <v>1.98</v>
      </c>
      <c r="F12" s="1316"/>
      <c r="G12" s="1439">
        <f>1.98*D12</f>
        <v>1.98</v>
      </c>
      <c r="H12" s="727"/>
      <c r="I12" s="727">
        <f t="shared" si="1"/>
        <v>20</v>
      </c>
      <c r="J12" s="727">
        <f t="shared" si="2"/>
        <v>1</v>
      </c>
      <c r="K12" s="726">
        <f t="shared" si="3"/>
        <v>1.98</v>
      </c>
      <c r="L12" s="727"/>
      <c r="M12" s="727">
        <f t="shared" si="4"/>
        <v>20</v>
      </c>
      <c r="N12" s="727">
        <f t="shared" si="5"/>
        <v>1</v>
      </c>
      <c r="O12" s="1421">
        <v>1.98</v>
      </c>
      <c r="P12" s="1420">
        <f t="shared" si="6"/>
        <v>1.98</v>
      </c>
      <c r="R12" s="1138">
        <f t="shared" si="7"/>
        <v>0</v>
      </c>
    </row>
    <row r="13" spans="1:18" s="1" customFormat="1">
      <c r="A13" s="724" t="s">
        <v>1365</v>
      </c>
      <c r="B13" s="725">
        <v>128</v>
      </c>
      <c r="C13" s="725">
        <v>32</v>
      </c>
      <c r="D13" s="1079">
        <v>1</v>
      </c>
      <c r="E13" s="1316">
        <f t="shared" si="0"/>
        <v>4.0960000000000001</v>
      </c>
      <c r="F13" s="1316"/>
      <c r="G13" s="1439">
        <f>4.096*D13</f>
        <v>4.0960000000000001</v>
      </c>
      <c r="H13" s="727"/>
      <c r="I13" s="727">
        <f t="shared" si="1"/>
        <v>32</v>
      </c>
      <c r="J13" s="727">
        <f t="shared" si="2"/>
        <v>1</v>
      </c>
      <c r="K13" s="726">
        <f t="shared" si="3"/>
        <v>4.0960000000000001</v>
      </c>
      <c r="L13" s="727"/>
      <c r="M13" s="727">
        <f t="shared" si="4"/>
        <v>32</v>
      </c>
      <c r="N13" s="727">
        <f t="shared" si="5"/>
        <v>1</v>
      </c>
      <c r="O13" s="1421">
        <v>4.0960000000000001</v>
      </c>
      <c r="P13" s="1420">
        <f t="shared" si="6"/>
        <v>4.0960000000000001</v>
      </c>
      <c r="R13" s="1138">
        <f t="shared" si="7"/>
        <v>0</v>
      </c>
    </row>
    <row r="14" spans="1:18" s="1" customFormat="1">
      <c r="A14" s="724" t="s">
        <v>1366</v>
      </c>
      <c r="B14" s="725">
        <v>112</v>
      </c>
      <c r="C14" s="725">
        <v>32</v>
      </c>
      <c r="D14" s="1079">
        <v>1</v>
      </c>
      <c r="E14" s="1316">
        <f t="shared" si="0"/>
        <v>3.5840000000000001</v>
      </c>
      <c r="F14" s="1316"/>
      <c r="G14" s="1439">
        <f>3.584*D14</f>
        <v>3.5840000000000001</v>
      </c>
      <c r="H14" s="727"/>
      <c r="I14" s="727">
        <f t="shared" si="1"/>
        <v>32</v>
      </c>
      <c r="J14" s="727">
        <f t="shared" si="2"/>
        <v>1</v>
      </c>
      <c r="K14" s="726">
        <f t="shared" si="3"/>
        <v>3.5840000000000001</v>
      </c>
      <c r="L14" s="727"/>
      <c r="M14" s="727">
        <f t="shared" si="4"/>
        <v>32</v>
      </c>
      <c r="N14" s="727">
        <f t="shared" si="5"/>
        <v>1</v>
      </c>
      <c r="O14" s="1421">
        <v>3.5840000000000001</v>
      </c>
      <c r="P14" s="1420">
        <f t="shared" si="6"/>
        <v>3.5840000000000001</v>
      </c>
      <c r="R14" s="1138">
        <f t="shared" si="7"/>
        <v>0</v>
      </c>
    </row>
    <row r="15" spans="1:18" s="1" customFormat="1">
      <c r="A15" s="724" t="s">
        <v>1367</v>
      </c>
      <c r="B15" s="725">
        <v>180</v>
      </c>
      <c r="C15" s="725">
        <v>40</v>
      </c>
      <c r="D15" s="1079">
        <v>1</v>
      </c>
      <c r="E15" s="1316">
        <f t="shared" si="0"/>
        <v>7.2</v>
      </c>
      <c r="F15" s="1316"/>
      <c r="G15" s="1439">
        <f>7.2*D15</f>
        <v>7.2</v>
      </c>
      <c r="H15" s="727"/>
      <c r="I15" s="727">
        <f t="shared" si="1"/>
        <v>40</v>
      </c>
      <c r="J15" s="727">
        <f t="shared" si="2"/>
        <v>1</v>
      </c>
      <c r="K15" s="726">
        <f t="shared" si="3"/>
        <v>7.2</v>
      </c>
      <c r="L15" s="727"/>
      <c r="M15" s="727">
        <f t="shared" si="4"/>
        <v>40</v>
      </c>
      <c r="N15" s="727">
        <f t="shared" si="5"/>
        <v>1</v>
      </c>
      <c r="O15" s="1421">
        <v>7.2</v>
      </c>
      <c r="P15" s="1420">
        <f t="shared" si="6"/>
        <v>7.2</v>
      </c>
      <c r="R15" s="1138">
        <f t="shared" si="7"/>
        <v>0</v>
      </c>
    </row>
    <row r="16" spans="1:18" s="1" customFormat="1">
      <c r="A16" s="724" t="s">
        <v>1368</v>
      </c>
      <c r="B16" s="725">
        <v>150</v>
      </c>
      <c r="C16" s="725">
        <v>32</v>
      </c>
      <c r="D16" s="1079">
        <v>0.5</v>
      </c>
      <c r="E16" s="1316">
        <f t="shared" si="0"/>
        <v>2.4</v>
      </c>
      <c r="F16" s="1316"/>
      <c r="G16" s="1439">
        <f>4.8*D16</f>
        <v>2.4</v>
      </c>
      <c r="H16" s="727"/>
      <c r="I16" s="727">
        <f t="shared" si="1"/>
        <v>32</v>
      </c>
      <c r="J16" s="727">
        <f t="shared" si="2"/>
        <v>0.5</v>
      </c>
      <c r="K16" s="726">
        <f t="shared" si="3"/>
        <v>2.4</v>
      </c>
      <c r="L16" s="727"/>
      <c r="M16" s="727">
        <f t="shared" si="4"/>
        <v>32</v>
      </c>
      <c r="N16" s="727">
        <f t="shared" si="5"/>
        <v>0.5</v>
      </c>
      <c r="O16" s="1421">
        <v>2.4</v>
      </c>
      <c r="P16" s="1420">
        <f t="shared" si="6"/>
        <v>2.4</v>
      </c>
      <c r="R16" s="1138">
        <f t="shared" si="7"/>
        <v>0</v>
      </c>
    </row>
    <row r="17" spans="1:18" s="1" customFormat="1">
      <c r="A17" s="724" t="s">
        <v>1369</v>
      </c>
      <c r="B17" s="725">
        <v>185</v>
      </c>
      <c r="C17" s="725">
        <v>40</v>
      </c>
      <c r="D17" s="1079">
        <v>1</v>
      </c>
      <c r="E17" s="1316">
        <f t="shared" si="0"/>
        <v>7.4</v>
      </c>
      <c r="F17" s="1316"/>
      <c r="G17" s="1439">
        <f>7.4*D17</f>
        <v>7.4</v>
      </c>
      <c r="H17" s="727"/>
      <c r="I17" s="727">
        <f t="shared" si="1"/>
        <v>40</v>
      </c>
      <c r="J17" s="727">
        <f t="shared" si="2"/>
        <v>1</v>
      </c>
      <c r="K17" s="726">
        <f t="shared" si="3"/>
        <v>7.4</v>
      </c>
      <c r="L17" s="727"/>
      <c r="M17" s="727">
        <f t="shared" si="4"/>
        <v>40</v>
      </c>
      <c r="N17" s="727">
        <v>0.7</v>
      </c>
      <c r="O17" s="1421">
        <v>5.18</v>
      </c>
      <c r="P17" s="1420">
        <f>G17/D17*N17</f>
        <v>5.18</v>
      </c>
      <c r="R17" s="1138">
        <f t="shared" si="7"/>
        <v>-2.2200000000000006</v>
      </c>
    </row>
    <row r="18" spans="1:18" s="1" customFormat="1">
      <c r="A18" s="724" t="s">
        <v>1370</v>
      </c>
      <c r="B18" s="725">
        <v>84</v>
      </c>
      <c r="C18" s="725">
        <v>10</v>
      </c>
      <c r="D18" s="1079">
        <v>0.5</v>
      </c>
      <c r="E18" s="1316">
        <f t="shared" si="0"/>
        <v>0.42</v>
      </c>
      <c r="F18" s="1316"/>
      <c r="G18" s="1439">
        <f>0.84*D18</f>
        <v>0.42</v>
      </c>
      <c r="H18" s="727"/>
      <c r="I18" s="727">
        <f t="shared" si="1"/>
        <v>10</v>
      </c>
      <c r="J18" s="727">
        <f t="shared" si="2"/>
        <v>0.5</v>
      </c>
      <c r="K18" s="726">
        <f t="shared" si="3"/>
        <v>0.42</v>
      </c>
      <c r="L18" s="727"/>
      <c r="M18" s="727">
        <f t="shared" si="4"/>
        <v>10</v>
      </c>
      <c r="N18" s="727">
        <v>1</v>
      </c>
      <c r="O18" s="1421">
        <v>0.84</v>
      </c>
      <c r="P18" s="1420">
        <f>G18/D18</f>
        <v>0.84</v>
      </c>
      <c r="R18" s="1138">
        <f t="shared" si="7"/>
        <v>0.42</v>
      </c>
    </row>
    <row r="19" spans="1:18" s="1" customFormat="1">
      <c r="A19" s="724" t="s">
        <v>1371</v>
      </c>
      <c r="B19" s="725">
        <v>210</v>
      </c>
      <c r="C19" s="725">
        <v>60</v>
      </c>
      <c r="D19" s="1079">
        <v>0.5</v>
      </c>
      <c r="E19" s="1316">
        <f t="shared" si="0"/>
        <v>6.3</v>
      </c>
      <c r="F19" s="1316"/>
      <c r="G19" s="1439">
        <f>12.6*D19</f>
        <v>6.3</v>
      </c>
      <c r="H19" s="727"/>
      <c r="I19" s="727">
        <f t="shared" si="1"/>
        <v>60</v>
      </c>
      <c r="J19" s="727">
        <f t="shared" si="2"/>
        <v>0.5</v>
      </c>
      <c r="K19" s="726">
        <f t="shared" si="3"/>
        <v>6.3</v>
      </c>
      <c r="L19" s="727"/>
      <c r="M19" s="727">
        <f t="shared" si="4"/>
        <v>60</v>
      </c>
      <c r="N19" s="727">
        <f t="shared" ref="N19:N24" si="8">D19</f>
        <v>0.5</v>
      </c>
      <c r="O19" s="1421">
        <v>6.3</v>
      </c>
      <c r="P19" s="1420">
        <f t="shared" si="6"/>
        <v>6.3</v>
      </c>
      <c r="R19" s="1138">
        <f t="shared" si="7"/>
        <v>0</v>
      </c>
    </row>
    <row r="20" spans="1:18" s="1" customFormat="1">
      <c r="A20" s="724" t="s">
        <v>1372</v>
      </c>
      <c r="B20" s="725">
        <v>117</v>
      </c>
      <c r="C20" s="725">
        <v>32</v>
      </c>
      <c r="D20" s="1079">
        <v>1</v>
      </c>
      <c r="E20" s="1316">
        <f t="shared" si="0"/>
        <v>3.7440000000000002</v>
      </c>
      <c r="F20" s="1316"/>
      <c r="G20" s="1439">
        <f>3.744*D20</f>
        <v>3.7440000000000002</v>
      </c>
      <c r="H20" s="727"/>
      <c r="I20" s="727">
        <f t="shared" si="1"/>
        <v>32</v>
      </c>
      <c r="J20" s="727">
        <f t="shared" si="2"/>
        <v>1</v>
      </c>
      <c r="K20" s="726">
        <f t="shared" si="3"/>
        <v>3.7440000000000002</v>
      </c>
      <c r="L20" s="727"/>
      <c r="M20" s="727">
        <f t="shared" si="4"/>
        <v>32</v>
      </c>
      <c r="N20" s="727">
        <f t="shared" si="8"/>
        <v>1</v>
      </c>
      <c r="O20" s="1421">
        <v>3.7440000000000002</v>
      </c>
      <c r="P20" s="1420">
        <f t="shared" si="6"/>
        <v>3.7440000000000002</v>
      </c>
      <c r="R20" s="1138">
        <f t="shared" si="7"/>
        <v>0</v>
      </c>
    </row>
    <row r="21" spans="1:18" s="1" customFormat="1">
      <c r="A21" s="724" t="s">
        <v>1373</v>
      </c>
      <c r="B21" s="725">
        <v>117.2</v>
      </c>
      <c r="C21" s="725">
        <v>32</v>
      </c>
      <c r="D21" s="1079">
        <v>1</v>
      </c>
      <c r="E21" s="1314">
        <f t="shared" si="0"/>
        <v>3.7504</v>
      </c>
      <c r="F21" s="1316"/>
      <c r="G21" s="1439">
        <f>3.75*D21</f>
        <v>3.75</v>
      </c>
      <c r="H21" s="727"/>
      <c r="I21" s="727">
        <f t="shared" si="1"/>
        <v>32</v>
      </c>
      <c r="J21" s="727">
        <f t="shared" si="2"/>
        <v>1</v>
      </c>
      <c r="K21" s="726">
        <f t="shared" si="3"/>
        <v>3.7504</v>
      </c>
      <c r="L21" s="727"/>
      <c r="M21" s="727">
        <f t="shared" si="4"/>
        <v>32</v>
      </c>
      <c r="N21" s="727">
        <f t="shared" si="8"/>
        <v>1</v>
      </c>
      <c r="O21" s="1421">
        <v>3.7504</v>
      </c>
      <c r="P21" s="1420">
        <f t="shared" si="6"/>
        <v>3.75</v>
      </c>
      <c r="R21" s="1138">
        <f t="shared" si="7"/>
        <v>0</v>
      </c>
    </row>
    <row r="22" spans="1:18" s="1" customFormat="1">
      <c r="A22" s="724" t="s">
        <v>1374</v>
      </c>
      <c r="B22" s="725">
        <v>128</v>
      </c>
      <c r="C22" s="725">
        <v>32</v>
      </c>
      <c r="D22" s="1079">
        <v>1</v>
      </c>
      <c r="E22" s="1316">
        <f t="shared" si="0"/>
        <v>4.0960000000000001</v>
      </c>
      <c r="F22" s="1316"/>
      <c r="G22" s="1439">
        <f>4.096*D22</f>
        <v>4.0960000000000001</v>
      </c>
      <c r="H22" s="727"/>
      <c r="I22" s="727">
        <f t="shared" si="1"/>
        <v>32</v>
      </c>
      <c r="J22" s="727">
        <f t="shared" si="2"/>
        <v>1</v>
      </c>
      <c r="K22" s="726">
        <f t="shared" si="3"/>
        <v>4.0960000000000001</v>
      </c>
      <c r="L22" s="727"/>
      <c r="M22" s="727">
        <f t="shared" si="4"/>
        <v>32</v>
      </c>
      <c r="N22" s="727">
        <f t="shared" si="8"/>
        <v>1</v>
      </c>
      <c r="O22" s="1421">
        <v>4.0960000000000001</v>
      </c>
      <c r="P22" s="1420">
        <f t="shared" si="6"/>
        <v>4.0960000000000001</v>
      </c>
      <c r="R22" s="1138">
        <f t="shared" si="7"/>
        <v>0</v>
      </c>
    </row>
    <row r="23" spans="1:18" s="1" customFormat="1">
      <c r="A23" s="724" t="s">
        <v>1391</v>
      </c>
      <c r="B23" s="725">
        <v>75</v>
      </c>
      <c r="C23" s="725">
        <v>25</v>
      </c>
      <c r="D23" s="1079">
        <v>1</v>
      </c>
      <c r="E23" s="1316">
        <f t="shared" si="0"/>
        <v>1.875</v>
      </c>
      <c r="F23" s="1316"/>
      <c r="G23" s="1439">
        <f>1.875*D23</f>
        <v>1.875</v>
      </c>
      <c r="H23" s="727"/>
      <c r="I23" s="727">
        <f t="shared" si="1"/>
        <v>25</v>
      </c>
      <c r="J23" s="727">
        <f t="shared" si="2"/>
        <v>1</v>
      </c>
      <c r="K23" s="726">
        <f t="shared" si="3"/>
        <v>1.875</v>
      </c>
      <c r="L23" s="727"/>
      <c r="M23" s="727">
        <f t="shared" si="4"/>
        <v>25</v>
      </c>
      <c r="N23" s="727">
        <f t="shared" si="8"/>
        <v>1</v>
      </c>
      <c r="O23" s="1421">
        <v>1.875</v>
      </c>
      <c r="P23" s="1420">
        <f t="shared" si="6"/>
        <v>1.875</v>
      </c>
      <c r="R23" s="1138">
        <f t="shared" si="7"/>
        <v>0</v>
      </c>
    </row>
    <row r="24" spans="1:18" s="1" customFormat="1">
      <c r="A24" s="724" t="s">
        <v>1375</v>
      </c>
      <c r="B24" s="725">
        <v>112.2</v>
      </c>
      <c r="C24" s="725">
        <v>20</v>
      </c>
      <c r="D24" s="1079">
        <v>1</v>
      </c>
      <c r="E24" s="1316">
        <f>B24*C24*D24/1000</f>
        <v>2.2440000000000002</v>
      </c>
      <c r="F24" s="1316"/>
      <c r="G24" s="1439">
        <f>2.244*D24</f>
        <v>2.2440000000000002</v>
      </c>
      <c r="H24" s="727"/>
      <c r="I24" s="727">
        <f t="shared" si="1"/>
        <v>20</v>
      </c>
      <c r="J24" s="727">
        <f t="shared" si="2"/>
        <v>1</v>
      </c>
      <c r="K24" s="726">
        <f t="shared" si="3"/>
        <v>2.2440000000000002</v>
      </c>
      <c r="L24" s="727"/>
      <c r="M24" s="727">
        <f t="shared" si="4"/>
        <v>20</v>
      </c>
      <c r="N24" s="727">
        <f t="shared" si="8"/>
        <v>1</v>
      </c>
      <c r="O24" s="1421">
        <v>2.2440000000000002</v>
      </c>
      <c r="P24" s="1420">
        <f t="shared" si="6"/>
        <v>2.2440000000000002</v>
      </c>
      <c r="R24" s="1138">
        <f t="shared" si="7"/>
        <v>0</v>
      </c>
    </row>
    <row r="25" spans="1:18" s="1" customFormat="1">
      <c r="A25" s="724"/>
      <c r="B25" s="725"/>
      <c r="C25" s="725"/>
      <c r="D25" s="1079"/>
      <c r="E25" s="726">
        <f t="shared" ref="E25:E32" si="9">B25*C25*D25/1000</f>
        <v>0</v>
      </c>
      <c r="F25" s="726"/>
      <c r="G25" s="1421"/>
      <c r="H25" s="727"/>
      <c r="I25" s="727"/>
      <c r="J25" s="727"/>
      <c r="K25" s="726">
        <f t="shared" si="3"/>
        <v>0</v>
      </c>
      <c r="L25" s="727"/>
      <c r="M25" s="727"/>
      <c r="N25" s="727"/>
      <c r="O25" s="726">
        <v>0</v>
      </c>
      <c r="P25" s="727"/>
    </row>
    <row r="26" spans="1:18" s="1" customFormat="1">
      <c r="A26" s="724"/>
      <c r="B26" s="725"/>
      <c r="C26" s="725"/>
      <c r="D26" s="725"/>
      <c r="E26" s="726">
        <f t="shared" si="9"/>
        <v>0</v>
      </c>
      <c r="F26" s="726"/>
      <c r="G26" s="726"/>
      <c r="H26" s="727"/>
      <c r="I26" s="727"/>
      <c r="J26" s="727"/>
      <c r="K26" s="726">
        <f t="shared" si="3"/>
        <v>0</v>
      </c>
      <c r="L26" s="727"/>
      <c r="M26" s="727"/>
      <c r="N26" s="727"/>
      <c r="O26" s="726">
        <v>0</v>
      </c>
      <c r="P26" s="727"/>
    </row>
    <row r="27" spans="1:18" s="1" customFormat="1">
      <c r="A27" s="724"/>
      <c r="B27" s="725"/>
      <c r="C27" s="725"/>
      <c r="D27" s="725"/>
      <c r="E27" s="726">
        <f t="shared" si="9"/>
        <v>0</v>
      </c>
      <c r="F27" s="726"/>
      <c r="G27" s="726"/>
      <c r="H27" s="727"/>
      <c r="I27" s="727"/>
      <c r="J27" s="727"/>
      <c r="K27" s="726">
        <f t="shared" si="3"/>
        <v>0</v>
      </c>
      <c r="L27" s="727"/>
      <c r="M27" s="727"/>
      <c r="N27" s="727"/>
      <c r="O27" s="726">
        <v>0</v>
      </c>
      <c r="P27" s="727"/>
    </row>
    <row r="28" spans="1:18" s="1" customFormat="1">
      <c r="A28" s="724"/>
      <c r="B28" s="725"/>
      <c r="C28" s="725"/>
      <c r="D28" s="725"/>
      <c r="E28" s="726">
        <f t="shared" si="9"/>
        <v>0</v>
      </c>
      <c r="F28" s="726"/>
      <c r="G28" s="726"/>
      <c r="H28" s="727"/>
      <c r="I28" s="727"/>
      <c r="J28" s="727"/>
      <c r="K28" s="726">
        <f t="shared" si="3"/>
        <v>0</v>
      </c>
      <c r="L28" s="727"/>
      <c r="M28" s="727"/>
      <c r="N28" s="727"/>
      <c r="O28" s="726">
        <v>0</v>
      </c>
      <c r="P28" s="727"/>
    </row>
    <row r="29" spans="1:18" s="1" customFormat="1">
      <c r="A29" s="724"/>
      <c r="B29" s="725"/>
      <c r="C29" s="725"/>
      <c r="D29" s="725"/>
      <c r="E29" s="726">
        <f t="shared" si="9"/>
        <v>0</v>
      </c>
      <c r="F29" s="726"/>
      <c r="G29" s="726"/>
      <c r="H29" s="727"/>
      <c r="I29" s="727"/>
      <c r="J29" s="727"/>
      <c r="K29" s="726">
        <f t="shared" si="3"/>
        <v>0</v>
      </c>
      <c r="L29" s="727"/>
      <c r="M29" s="727"/>
      <c r="N29" s="727"/>
      <c r="O29" s="726">
        <v>0</v>
      </c>
      <c r="P29" s="727"/>
    </row>
    <row r="30" spans="1:18" s="1" customFormat="1">
      <c r="A30" s="724"/>
      <c r="B30" s="725"/>
      <c r="C30" s="725"/>
      <c r="D30" s="725"/>
      <c r="E30" s="726">
        <f t="shared" si="9"/>
        <v>0</v>
      </c>
      <c r="F30" s="726"/>
      <c r="G30" s="726"/>
      <c r="H30" s="727"/>
      <c r="I30" s="727"/>
      <c r="J30" s="727"/>
      <c r="K30" s="726">
        <f t="shared" si="3"/>
        <v>0</v>
      </c>
      <c r="L30" s="727"/>
      <c r="M30" s="727"/>
      <c r="N30" s="727"/>
      <c r="O30" s="726">
        <v>0</v>
      </c>
      <c r="P30" s="727"/>
    </row>
    <row r="31" spans="1:18" s="1" customFormat="1">
      <c r="A31" s="724"/>
      <c r="B31" s="725"/>
      <c r="C31" s="725"/>
      <c r="D31" s="725"/>
      <c r="E31" s="726">
        <f t="shared" si="9"/>
        <v>0</v>
      </c>
      <c r="F31" s="726"/>
      <c r="G31" s="726"/>
      <c r="H31" s="727"/>
      <c r="I31" s="727"/>
      <c r="J31" s="727"/>
      <c r="K31" s="726">
        <f t="shared" si="3"/>
        <v>0</v>
      </c>
      <c r="L31" s="727"/>
      <c r="M31" s="727"/>
      <c r="N31" s="727"/>
      <c r="O31" s="726">
        <v>0</v>
      </c>
      <c r="P31" s="727"/>
    </row>
    <row r="32" spans="1:18" s="1" customFormat="1">
      <c r="A32" s="724"/>
      <c r="B32" s="725"/>
      <c r="C32" s="725"/>
      <c r="D32" s="725"/>
      <c r="E32" s="726">
        <f t="shared" si="9"/>
        <v>0</v>
      </c>
      <c r="F32" s="726"/>
      <c r="G32" s="726"/>
      <c r="H32" s="727"/>
      <c r="I32" s="727"/>
      <c r="J32" s="727"/>
      <c r="K32" s="726">
        <f t="shared" si="3"/>
        <v>0</v>
      </c>
      <c r="L32" s="727"/>
      <c r="M32" s="727"/>
      <c r="N32" s="727"/>
      <c r="O32" s="726">
        <v>0</v>
      </c>
      <c r="P32" s="727"/>
    </row>
    <row r="33" spans="1:16" s="692" customFormat="1">
      <c r="A33" s="1625"/>
      <c r="B33" s="1626"/>
      <c r="C33" s="1626"/>
      <c r="D33" s="1626"/>
      <c r="E33" s="1626"/>
      <c r="F33" s="1626"/>
      <c r="G33" s="1626"/>
      <c r="H33" s="1626"/>
      <c r="I33" s="1626"/>
      <c r="J33" s="1626"/>
      <c r="K33" s="1626"/>
      <c r="L33" s="1626"/>
    </row>
    <row r="34" spans="1:16" s="692" customFormat="1">
      <c r="A34" s="544">
        <v>10</v>
      </c>
      <c r="B34" s="728" t="s">
        <v>246</v>
      </c>
      <c r="C34" s="728" t="s">
        <v>246</v>
      </c>
      <c r="D34" s="729" t="s">
        <v>246</v>
      </c>
      <c r="E34" s="766">
        <f>SUM(E6:E32)</f>
        <v>53.263649999999998</v>
      </c>
      <c r="F34" s="766"/>
      <c r="G34" s="766">
        <f>SUM(G6:G32)</f>
        <v>53.263249999999999</v>
      </c>
      <c r="H34" s="721"/>
      <c r="I34" s="718"/>
      <c r="J34" s="731" t="s">
        <v>246</v>
      </c>
      <c r="K34" s="766">
        <f>SUM(K6:K32)</f>
        <v>53.263649999999998</v>
      </c>
      <c r="L34" s="730">
        <f>E34</f>
        <v>53.263649999999998</v>
      </c>
      <c r="M34" s="702"/>
      <c r="N34" s="702"/>
      <c r="O34" s="766">
        <f>SUM(O6:O32)</f>
        <v>51.463650000000001</v>
      </c>
      <c r="P34" s="766">
        <f>SUM(P6:P32)</f>
        <v>51.463250000000002</v>
      </c>
    </row>
  </sheetData>
  <protectedRanges>
    <protectedRange sqref="H34:I34 J6:J32 N6:N32" name="Диапазон1_1"/>
    <protectedRange sqref="A26:A32" name="Диапазон1_1_4"/>
    <protectedRange sqref="B26:D32" name="Диапазон1_1_8"/>
    <protectedRange sqref="A6:A10" name="Диапазон1_1_2_2"/>
    <protectedRange sqref="A11:A20" name="Диапазон1_1_3_2"/>
    <protectedRange sqref="A21:A25" name="Диапазон1_1_4_2"/>
    <protectedRange sqref="B6:D25" name="Диапазон1_1_8_1"/>
  </protectedRanges>
  <mergeCells count="10">
    <mergeCell ref="M3:P3"/>
    <mergeCell ref="A33:L33"/>
    <mergeCell ref="D3:E3"/>
    <mergeCell ref="A1:L1"/>
    <mergeCell ref="A3:A4"/>
    <mergeCell ref="B3:B4"/>
    <mergeCell ref="C3:C4"/>
    <mergeCell ref="H3:H4"/>
    <mergeCell ref="I3:L3"/>
    <mergeCell ref="F3:G3"/>
  </mergeCells>
  <pageMargins left="0.70866141732283472" right="0" top="0" bottom="0.74803149606299213" header="0" footer="0.31496062992125984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/>
  <dimension ref="A1:G12"/>
  <sheetViews>
    <sheetView workbookViewId="0">
      <selection activeCell="C11" sqref="C11"/>
    </sheetView>
  </sheetViews>
  <sheetFormatPr defaultRowHeight="12.75"/>
  <cols>
    <col min="1" max="1" width="59.85546875" customWidth="1"/>
    <col min="2" max="2" width="11.140625" customWidth="1"/>
    <col min="3" max="3" width="11.140625" style="1312" customWidth="1"/>
    <col min="4" max="6" width="11.140625" customWidth="1"/>
    <col min="7" max="7" width="4.85546875" customWidth="1"/>
  </cols>
  <sheetData>
    <row r="1" spans="1:7" ht="90" customHeight="1">
      <c r="A1" s="1597" t="s">
        <v>541</v>
      </c>
      <c r="B1" s="1597"/>
      <c r="C1" s="1597"/>
      <c r="D1" s="1597"/>
      <c r="E1" s="1597"/>
      <c r="F1" s="1597"/>
      <c r="G1" s="1291">
        <v>31</v>
      </c>
    </row>
    <row r="2" spans="1:7" ht="18.75">
      <c r="A2" s="292"/>
      <c r="B2" s="287"/>
      <c r="C2" s="1106"/>
      <c r="D2" s="287"/>
      <c r="E2" s="291" t="s">
        <v>547</v>
      </c>
      <c r="F2" s="280"/>
    </row>
    <row r="3" spans="1:7" s="692" customFormat="1">
      <c r="A3" s="1565" t="s">
        <v>242</v>
      </c>
      <c r="B3" s="349">
        <v>2018</v>
      </c>
      <c r="C3" s="1309">
        <v>2018</v>
      </c>
      <c r="D3" s="349">
        <v>2019</v>
      </c>
      <c r="E3" s="1566">
        <v>2020</v>
      </c>
      <c r="F3" s="1566"/>
    </row>
    <row r="4" spans="1:7" s="692" customFormat="1" ht="25.5">
      <c r="A4" s="1565"/>
      <c r="B4" s="328" t="s">
        <v>511</v>
      </c>
      <c r="C4" s="1311" t="s">
        <v>1426</v>
      </c>
      <c r="D4" s="328" t="s">
        <v>512</v>
      </c>
      <c r="E4" s="328" t="s">
        <v>513</v>
      </c>
      <c r="F4" s="328" t="s">
        <v>514</v>
      </c>
    </row>
    <row r="5" spans="1:7" s="692" customFormat="1">
      <c r="A5" s="329">
        <v>1</v>
      </c>
      <c r="B5" s="330">
        <v>3</v>
      </c>
      <c r="C5" s="330"/>
      <c r="D5" s="330">
        <v>4</v>
      </c>
      <c r="E5" s="330">
        <v>5</v>
      </c>
      <c r="F5" s="330">
        <v>6</v>
      </c>
    </row>
    <row r="6" spans="1:7" s="692" customFormat="1" ht="21" customHeight="1">
      <c r="A6" s="331" t="s">
        <v>542</v>
      </c>
      <c r="B6" s="310"/>
      <c r="C6" s="310"/>
      <c r="D6" s="711"/>
      <c r="E6" s="310"/>
      <c r="F6" s="310"/>
    </row>
    <row r="7" spans="1:7" s="692" customFormat="1" ht="21" customHeight="1">
      <c r="A7" s="331" t="s">
        <v>543</v>
      </c>
      <c r="B7" s="310"/>
      <c r="C7" s="310"/>
      <c r="D7" s="711"/>
      <c r="E7" s="310"/>
      <c r="F7" s="310"/>
    </row>
    <row r="8" spans="1:7" s="692" customFormat="1" ht="21" customHeight="1">
      <c r="A8" s="331" t="s">
        <v>544</v>
      </c>
      <c r="B8" s="310"/>
      <c r="C8" s="310"/>
      <c r="D8" s="711"/>
      <c r="E8" s="310"/>
      <c r="F8" s="310"/>
    </row>
    <row r="9" spans="1:7" s="692" customFormat="1" ht="21" customHeight="1">
      <c r="A9" s="331" t="s">
        <v>545</v>
      </c>
      <c r="B9" s="310"/>
      <c r="C9" s="310"/>
      <c r="D9" s="711"/>
      <c r="E9" s="310"/>
      <c r="F9" s="310"/>
    </row>
    <row r="10" spans="1:7" s="692" customFormat="1" ht="33" customHeight="1">
      <c r="A10" s="544" t="s">
        <v>546</v>
      </c>
      <c r="B10" s="703">
        <f>SUM(B6:B9)</f>
        <v>0</v>
      </c>
      <c r="C10" s="703">
        <v>0</v>
      </c>
      <c r="D10" s="703">
        <f>SUM(D6:D9)</f>
        <v>0</v>
      </c>
      <c r="E10" s="703">
        <f>SUM(E6:E9)</f>
        <v>0</v>
      </c>
      <c r="F10" s="703">
        <f>SUM(F6:F9)</f>
        <v>0</v>
      </c>
    </row>
    <row r="11" spans="1:7" s="692" customFormat="1"/>
    <row r="12" spans="1:7" s="692" customFormat="1"/>
  </sheetData>
  <protectedRanges>
    <protectedRange sqref="B6:E9" name="Диапазон1"/>
  </protectedRanges>
  <mergeCells count="3">
    <mergeCell ref="A1:F1"/>
    <mergeCell ref="A3:A4"/>
    <mergeCell ref="E3:F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>
    <pageSetUpPr fitToPage="1"/>
  </sheetPr>
  <dimension ref="A1:G10"/>
  <sheetViews>
    <sheetView workbookViewId="0">
      <selection activeCell="C4" sqref="C4"/>
    </sheetView>
  </sheetViews>
  <sheetFormatPr defaultRowHeight="12.75"/>
  <cols>
    <col min="1" max="1" width="27.7109375" customWidth="1"/>
    <col min="3" max="3" width="9.140625" style="1312"/>
    <col min="4" max="6" width="21.7109375" customWidth="1"/>
    <col min="7" max="7" width="4.140625" customWidth="1"/>
  </cols>
  <sheetData>
    <row r="1" spans="1:7" ht="78" customHeight="1">
      <c r="A1" s="462" t="s">
        <v>781</v>
      </c>
      <c r="B1" s="1177"/>
      <c r="C1" s="1177"/>
      <c r="D1" s="1177"/>
      <c r="E1" s="1177"/>
      <c r="F1" s="1177"/>
      <c r="G1" s="1274">
        <v>32</v>
      </c>
    </row>
    <row r="2" spans="1:7" ht="18.75">
      <c r="A2" s="1633" t="s">
        <v>242</v>
      </c>
      <c r="B2" s="1292">
        <v>2018</v>
      </c>
      <c r="C2" s="1310">
        <v>2018</v>
      </c>
      <c r="D2" s="1292">
        <v>2019</v>
      </c>
      <c r="E2" s="1634">
        <v>2020</v>
      </c>
      <c r="F2" s="1634"/>
    </row>
    <row r="3" spans="1:7" ht="37.5">
      <c r="A3" s="1633"/>
      <c r="B3" s="1293" t="s">
        <v>511</v>
      </c>
      <c r="C3" s="1293" t="s">
        <v>1426</v>
      </c>
      <c r="D3" s="1293" t="s">
        <v>512</v>
      </c>
      <c r="E3" s="1293" t="s">
        <v>513</v>
      </c>
      <c r="F3" s="1293" t="s">
        <v>514</v>
      </c>
    </row>
    <row r="4" spans="1:7" ht="18.75">
      <c r="A4" s="1294">
        <v>1</v>
      </c>
      <c r="B4" s="1295">
        <v>3</v>
      </c>
      <c r="C4" s="1295"/>
      <c r="D4" s="1295">
        <v>4</v>
      </c>
      <c r="E4" s="1295">
        <v>5</v>
      </c>
      <c r="F4" s="1295">
        <v>6</v>
      </c>
      <c r="G4" s="1291"/>
    </row>
    <row r="5" spans="1:7" s="1" customFormat="1" ht="18.75">
      <c r="A5" s="245" t="s">
        <v>782</v>
      </c>
      <c r="B5" s="1296"/>
      <c r="C5" s="1296"/>
      <c r="D5" s="1296"/>
      <c r="E5" s="1296"/>
      <c r="F5" s="1296"/>
    </row>
    <row r="6" spans="1:7" s="1" customFormat="1" ht="37.5">
      <c r="A6" s="245" t="s">
        <v>783</v>
      </c>
      <c r="B6" s="1296"/>
      <c r="C6" s="1296"/>
      <c r="D6" s="1296"/>
      <c r="E6" s="1296"/>
      <c r="F6" s="1296"/>
    </row>
    <row r="7" spans="1:7" s="1" customFormat="1" ht="75">
      <c r="A7" s="245" t="s">
        <v>784</v>
      </c>
      <c r="B7" s="1296"/>
      <c r="C7" s="1296"/>
      <c r="D7" s="1296"/>
      <c r="E7" s="1296"/>
      <c r="F7" s="1296"/>
    </row>
    <row r="8" spans="1:7" s="535" customFormat="1" ht="18.75">
      <c r="A8" s="1297" t="s">
        <v>381</v>
      </c>
      <c r="B8" s="1298">
        <f>B5+B6+B7</f>
        <v>0</v>
      </c>
      <c r="C8" s="1298"/>
      <c r="D8" s="1298">
        <f>D5+D6+D7</f>
        <v>0</v>
      </c>
      <c r="E8" s="1298">
        <f>E5+E6+E7</f>
        <v>0</v>
      </c>
      <c r="F8" s="1298">
        <f>F5+F6+F7</f>
        <v>0</v>
      </c>
    </row>
    <row r="9" spans="1:7" s="1" customFormat="1"/>
    <row r="10" spans="1:7" s="1" customFormat="1"/>
  </sheetData>
  <mergeCells count="2">
    <mergeCell ref="A2:A3"/>
    <mergeCell ref="E2:F2"/>
  </mergeCells>
  <pageMargins left="0.9055118110236221" right="0" top="0.15748031496062992" bottom="0.74803149606299213" header="0" footer="0"/>
  <pageSetup paperSize="9" scale="88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>
    <pageSetUpPr fitToPage="1"/>
  </sheetPr>
  <dimension ref="A1:I12"/>
  <sheetViews>
    <sheetView workbookViewId="0">
      <selection activeCell="D7" sqref="D7"/>
    </sheetView>
  </sheetViews>
  <sheetFormatPr defaultRowHeight="12.75"/>
  <cols>
    <col min="1" max="1" width="50.7109375" customWidth="1"/>
    <col min="6" max="6" width="3.85546875" customWidth="1"/>
  </cols>
  <sheetData>
    <row r="1" spans="1:9" ht="72.75" customHeight="1">
      <c r="A1" s="1597" t="s">
        <v>558</v>
      </c>
      <c r="B1" s="1597"/>
      <c r="C1" s="1597"/>
      <c r="D1" s="1597"/>
      <c r="E1" s="1597"/>
      <c r="F1" s="1291">
        <v>33</v>
      </c>
    </row>
    <row r="2" spans="1:9" ht="18.75">
      <c r="A2" s="287"/>
      <c r="B2" s="288"/>
      <c r="C2" s="288"/>
      <c r="D2" s="291" t="s">
        <v>547</v>
      </c>
      <c r="E2" s="293"/>
    </row>
    <row r="3" spans="1:9">
      <c r="A3" s="1565" t="s">
        <v>242</v>
      </c>
      <c r="B3" s="349">
        <v>2018</v>
      </c>
      <c r="C3" s="349">
        <v>2019</v>
      </c>
      <c r="D3" s="1566">
        <v>2020</v>
      </c>
      <c r="E3" s="1566"/>
    </row>
    <row r="4" spans="1:9" ht="51">
      <c r="A4" s="1565"/>
      <c r="B4" s="328" t="s">
        <v>511</v>
      </c>
      <c r="C4" s="328" t="s">
        <v>512</v>
      </c>
      <c r="D4" s="328" t="s">
        <v>513</v>
      </c>
      <c r="E4" s="328" t="s">
        <v>514</v>
      </c>
    </row>
    <row r="5" spans="1:9">
      <c r="A5" s="329">
        <v>1</v>
      </c>
      <c r="B5" s="330">
        <v>3</v>
      </c>
      <c r="C5" s="330">
        <v>4</v>
      </c>
      <c r="D5" s="330">
        <v>5</v>
      </c>
      <c r="E5" s="330">
        <v>6</v>
      </c>
    </row>
    <row r="6" spans="1:9" s="692" customFormat="1">
      <c r="A6" s="212" t="s">
        <v>1386</v>
      </c>
      <c r="B6" s="556"/>
      <c r="C6" s="556"/>
      <c r="D6" s="556">
        <f>'Другие прочие и подконтрольные '!D24*0.303</f>
        <v>60.6</v>
      </c>
      <c r="E6" s="310"/>
      <c r="F6"/>
    </row>
    <row r="7" spans="1:9" s="692" customFormat="1" ht="12" customHeight="1">
      <c r="A7" s="212" t="s">
        <v>1390</v>
      </c>
      <c r="B7" s="556"/>
      <c r="C7" s="556"/>
      <c r="D7" s="556">
        <f>'Другие прочие и подконтрольные '!D25*0.303</f>
        <v>149.42176186581003</v>
      </c>
      <c r="E7" s="310"/>
    </row>
    <row r="8" spans="1:9" s="692" customFormat="1">
      <c r="A8" s="332"/>
      <c r="B8" s="310"/>
      <c r="C8" s="711"/>
      <c r="D8" s="310"/>
      <c r="E8" s="310"/>
    </row>
    <row r="9" spans="1:9" s="692" customFormat="1">
      <c r="A9" s="332"/>
      <c r="B9" s="310"/>
      <c r="C9" s="711"/>
      <c r="D9" s="310"/>
      <c r="E9" s="310"/>
    </row>
    <row r="10" spans="1:9" s="692" customFormat="1">
      <c r="A10" s="332"/>
      <c r="B10" s="310"/>
      <c r="C10" s="711"/>
      <c r="D10" s="310"/>
      <c r="E10" s="310"/>
    </row>
    <row r="11" spans="1:9" s="692" customFormat="1">
      <c r="A11" s="1603"/>
      <c r="B11" s="1604"/>
      <c r="C11" s="1604"/>
      <c r="D11" s="1604"/>
      <c r="E11" s="1604"/>
      <c r="I11" s="1299"/>
    </row>
    <row r="12" spans="1:9" s="692" customFormat="1">
      <c r="A12" s="544" t="s">
        <v>559</v>
      </c>
      <c r="B12" s="703">
        <f>SUM(B6:B10)</f>
        <v>0</v>
      </c>
      <c r="C12" s="703">
        <f>SUM(C6:C10)</f>
        <v>0</v>
      </c>
      <c r="D12" s="703">
        <f>SUM(D6:D10)</f>
        <v>210.02176186581002</v>
      </c>
      <c r="E12" s="703">
        <f>SUM(E6:E10)</f>
        <v>0</v>
      </c>
    </row>
  </sheetData>
  <protectedRanges>
    <protectedRange sqref="D8:D10 B8:B10" name="Диапазон1"/>
    <protectedRange sqref="A8:A10" name="Диапазон1_1"/>
    <protectedRange sqref="B6:B7 D6:D7" name="Диапазон1_2"/>
    <protectedRange sqref="A6:A7" name="Диапазон1_1_1"/>
  </protectedRanges>
  <mergeCells count="4">
    <mergeCell ref="A1:E1"/>
    <mergeCell ref="A3:A4"/>
    <mergeCell ref="D3:E3"/>
    <mergeCell ref="A11:E11"/>
  </mergeCells>
  <pageMargins left="0.9055118110236221" right="0" top="0.15748031496062992" bottom="0.15748031496062992" header="0" footer="0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>
    <tabColor indexed="22"/>
    <pageSetUpPr fitToPage="1"/>
  </sheetPr>
  <dimension ref="A1:L40"/>
  <sheetViews>
    <sheetView topLeftCell="A4" workbookViewId="0">
      <selection activeCell="N7" sqref="N7"/>
    </sheetView>
  </sheetViews>
  <sheetFormatPr defaultColWidth="8" defaultRowHeight="12.75"/>
  <cols>
    <col min="1" max="1" width="4.28515625" style="31" customWidth="1"/>
    <col min="2" max="2" width="23.42578125" style="31" customWidth="1"/>
    <col min="3" max="3" width="18.140625" style="31" customWidth="1"/>
    <col min="4" max="4" width="16.42578125" style="31" customWidth="1"/>
    <col min="5" max="6" width="18.140625" style="31" customWidth="1"/>
    <col min="7" max="7" width="11" style="31" customWidth="1"/>
    <col min="8" max="8" width="8.42578125" style="31" customWidth="1"/>
    <col min="9" max="9" width="8.85546875" style="31" customWidth="1"/>
    <col min="10" max="10" width="9.140625" style="31" customWidth="1"/>
    <col min="11" max="11" width="9.28515625" style="31" customWidth="1"/>
    <col min="12" max="12" width="4.42578125" style="31" customWidth="1"/>
    <col min="13" max="16384" width="8" style="31"/>
  </cols>
  <sheetData>
    <row r="1" spans="1:12" ht="60" customHeight="1">
      <c r="A1" s="1"/>
      <c r="B1" s="1"/>
      <c r="C1" s="1"/>
      <c r="D1" s="1"/>
      <c r="L1" s="1300">
        <v>34</v>
      </c>
    </row>
    <row r="2" spans="1:12" s="197" customFormat="1">
      <c r="A2" s="195"/>
      <c r="B2" s="194" t="s">
        <v>1420</v>
      </c>
      <c r="C2" s="196"/>
      <c r="D2" s="196"/>
      <c r="E2" s="196"/>
      <c r="F2" s="196"/>
      <c r="G2" s="196"/>
    </row>
    <row r="3" spans="1:12" s="197" customFormat="1">
      <c r="A3" s="194"/>
      <c r="B3" s="1636"/>
      <c r="C3" s="1636"/>
      <c r="D3" s="1636"/>
      <c r="E3" s="1636"/>
      <c r="F3" s="1636"/>
      <c r="G3" s="196"/>
    </row>
    <row r="4" spans="1:12" ht="13.5" thickBot="1">
      <c r="A4" s="1"/>
      <c r="B4" s="1"/>
      <c r="C4" s="1"/>
      <c r="D4" s="1"/>
      <c r="G4" s="2" t="s">
        <v>285</v>
      </c>
      <c r="K4" s="2" t="s">
        <v>422</v>
      </c>
    </row>
    <row r="5" spans="1:12" ht="13.5" thickBot="1">
      <c r="A5" s="115" t="s">
        <v>249</v>
      </c>
      <c r="B5" s="1641" t="s">
        <v>266</v>
      </c>
      <c r="C5" s="1641"/>
      <c r="D5" s="1641"/>
      <c r="E5" s="345" t="s">
        <v>910</v>
      </c>
      <c r="F5" s="346" t="s">
        <v>912</v>
      </c>
      <c r="G5" s="347">
        <v>2020</v>
      </c>
      <c r="H5" s="347">
        <v>2021</v>
      </c>
      <c r="I5" s="347">
        <v>2022</v>
      </c>
      <c r="J5" s="348">
        <v>2023</v>
      </c>
      <c r="K5" s="348">
        <v>2024</v>
      </c>
    </row>
    <row r="6" spans="1:12" ht="26.25" customHeight="1">
      <c r="A6" s="114" t="s">
        <v>247</v>
      </c>
      <c r="B6" s="1637" t="s">
        <v>323</v>
      </c>
      <c r="C6" s="1637"/>
      <c r="D6" s="1637"/>
      <c r="E6" s="664">
        <v>24024</v>
      </c>
      <c r="F6" s="665">
        <f t="shared" ref="F6:G6" si="0">E6+E7</f>
        <v>29153</v>
      </c>
      <c r="G6" s="665">
        <f t="shared" si="0"/>
        <v>32953</v>
      </c>
      <c r="H6" s="665">
        <f>G6+G7</f>
        <v>33953</v>
      </c>
      <c r="I6" s="665">
        <f>H6+H7</f>
        <v>34953</v>
      </c>
      <c r="J6" s="665">
        <f>I6+I7</f>
        <v>35953</v>
      </c>
      <c r="K6" s="665">
        <f>J6+J7</f>
        <v>36953</v>
      </c>
    </row>
    <row r="7" spans="1:12">
      <c r="A7" s="113" t="s">
        <v>243</v>
      </c>
      <c r="B7" s="1638" t="s">
        <v>286</v>
      </c>
      <c r="C7" s="1638"/>
      <c r="D7" s="1638"/>
      <c r="E7" s="666">
        <v>5129</v>
      </c>
      <c r="F7" s="666">
        <v>3800</v>
      </c>
      <c r="G7" s="666">
        <v>1000</v>
      </c>
      <c r="H7" s="666">
        <v>1000</v>
      </c>
      <c r="I7" s="666">
        <v>1000</v>
      </c>
      <c r="J7" s="666">
        <v>1000</v>
      </c>
      <c r="K7" s="666">
        <v>1000</v>
      </c>
    </row>
    <row r="8" spans="1:12">
      <c r="A8" s="113" t="s">
        <v>248</v>
      </c>
      <c r="B8" s="1638" t="s">
        <v>287</v>
      </c>
      <c r="C8" s="1638"/>
      <c r="D8" s="1638"/>
      <c r="E8" s="666"/>
      <c r="F8" s="666"/>
      <c r="G8" s="666"/>
      <c r="H8" s="666"/>
      <c r="I8" s="666"/>
      <c r="J8" s="666"/>
      <c r="K8" s="666"/>
    </row>
    <row r="9" spans="1:12">
      <c r="A9" s="113" t="s">
        <v>250</v>
      </c>
      <c r="B9" s="1638" t="s">
        <v>432</v>
      </c>
      <c r="C9" s="1638"/>
      <c r="D9" s="1638"/>
      <c r="E9" s="667">
        <f>(E6+E7-E8+E6)/2</f>
        <v>26588.5</v>
      </c>
      <c r="F9" s="667">
        <f t="shared" ref="F9:K9" si="1">(F6+F7-F8+F6)/2</f>
        <v>31053</v>
      </c>
      <c r="G9" s="667">
        <f t="shared" si="1"/>
        <v>33453</v>
      </c>
      <c r="H9" s="667">
        <f t="shared" si="1"/>
        <v>34453</v>
      </c>
      <c r="I9" s="667">
        <f t="shared" si="1"/>
        <v>35453</v>
      </c>
      <c r="J9" s="667">
        <f t="shared" si="1"/>
        <v>36453</v>
      </c>
      <c r="K9" s="667">
        <f t="shared" si="1"/>
        <v>37453</v>
      </c>
    </row>
    <row r="10" spans="1:12" ht="13.5" thickBot="1">
      <c r="A10" s="116" t="s">
        <v>251</v>
      </c>
      <c r="B10" s="1639" t="s">
        <v>288</v>
      </c>
      <c r="C10" s="1639"/>
      <c r="D10" s="1639"/>
      <c r="E10" s="670">
        <f>E11/E9</f>
        <v>6.5366605863437205E-2</v>
      </c>
      <c r="F10" s="670">
        <f>E10</f>
        <v>6.5366605863437205E-2</v>
      </c>
      <c r="G10" s="670">
        <f>F10</f>
        <v>6.5366605863437205E-2</v>
      </c>
      <c r="H10" s="670">
        <f t="shared" ref="H10:K10" si="2">G10</f>
        <v>6.5366605863437205E-2</v>
      </c>
      <c r="I10" s="670">
        <f t="shared" si="2"/>
        <v>6.5366605863437205E-2</v>
      </c>
      <c r="J10" s="670">
        <f t="shared" si="2"/>
        <v>6.5366605863437205E-2</v>
      </c>
      <c r="K10" s="670">
        <f t="shared" si="2"/>
        <v>6.5366605863437205E-2</v>
      </c>
    </row>
    <row r="11" spans="1:12" ht="13.5" thickBot="1">
      <c r="A11" s="115" t="s">
        <v>252</v>
      </c>
      <c r="B11" s="1640" t="s">
        <v>289</v>
      </c>
      <c r="C11" s="1640"/>
      <c r="D11" s="1640"/>
      <c r="E11" s="668">
        <v>1738</v>
      </c>
      <c r="F11" s="668">
        <f t="shared" ref="F11:K11" si="3">F9*F10</f>
        <v>2029.8292118773156</v>
      </c>
      <c r="G11" s="669">
        <f t="shared" si="3"/>
        <v>2186.7090659495648</v>
      </c>
      <c r="H11" s="668">
        <f>H9*H10</f>
        <v>2252.0756718130019</v>
      </c>
      <c r="I11" s="668">
        <f t="shared" si="3"/>
        <v>2317.4422776764391</v>
      </c>
      <c r="J11" s="668">
        <f t="shared" si="3"/>
        <v>2382.8088835398762</v>
      </c>
      <c r="K11" s="668">
        <f t="shared" si="3"/>
        <v>2448.1754894033138</v>
      </c>
    </row>
    <row r="13" spans="1:12" ht="13.5" customHeight="1"/>
    <row r="14" spans="1:12" ht="23.25" customHeight="1">
      <c r="D14" s="1635" t="s">
        <v>948</v>
      </c>
      <c r="E14" s="1635"/>
      <c r="F14" s="1635"/>
      <c r="G14" s="1635"/>
      <c r="H14" s="1635"/>
      <c r="I14" s="1108"/>
      <c r="J14" s="1108"/>
    </row>
    <row r="15" spans="1:12">
      <c r="D15" s="1107"/>
      <c r="E15" s="1107"/>
      <c r="F15" s="1107"/>
      <c r="G15" s="1107"/>
      <c r="H15" s="1107"/>
      <c r="I15" s="1107"/>
      <c r="J15" s="56" t="s">
        <v>429</v>
      </c>
    </row>
    <row r="16" spans="1:12" ht="13.5" thickBot="1">
      <c r="D16" s="112"/>
      <c r="E16" s="112"/>
      <c r="F16" s="112"/>
      <c r="G16" s="112"/>
      <c r="H16" s="112"/>
      <c r="I16" s="112"/>
      <c r="J16" s="2" t="s">
        <v>285</v>
      </c>
    </row>
    <row r="17" spans="3:10" ht="50.25" customHeight="1" thickBot="1">
      <c r="C17" s="126"/>
      <c r="D17" s="119"/>
      <c r="E17" s="110" t="s">
        <v>423</v>
      </c>
      <c r="F17" s="110" t="s">
        <v>424</v>
      </c>
      <c r="G17" s="110" t="s">
        <v>287</v>
      </c>
      <c r="H17" s="110" t="s">
        <v>425</v>
      </c>
      <c r="I17" s="111" t="s">
        <v>426</v>
      </c>
      <c r="J17" s="111" t="s">
        <v>427</v>
      </c>
    </row>
    <row r="18" spans="3:10" ht="21" customHeight="1">
      <c r="C18" s="127" t="s">
        <v>247</v>
      </c>
      <c r="D18" s="120" t="s">
        <v>433</v>
      </c>
      <c r="E18" s="558">
        <f t="shared" ref="E18:J18" si="4">E19+E24</f>
        <v>17002</v>
      </c>
      <c r="F18" s="558">
        <f t="shared" si="4"/>
        <v>600</v>
      </c>
      <c r="G18" s="558">
        <f t="shared" si="4"/>
        <v>0</v>
      </c>
      <c r="H18" s="558">
        <f t="shared" si="4"/>
        <v>17602</v>
      </c>
      <c r="I18" s="559">
        <f t="shared" si="4"/>
        <v>17302</v>
      </c>
      <c r="J18" s="560">
        <f t="shared" si="4"/>
        <v>1056</v>
      </c>
    </row>
    <row r="19" spans="3:10">
      <c r="C19" s="128" t="s">
        <v>401</v>
      </c>
      <c r="D19" s="121" t="s">
        <v>325</v>
      </c>
      <c r="E19" s="561">
        <f t="shared" ref="E19:J19" si="5">SUM(E20:E23)</f>
        <v>17002</v>
      </c>
      <c r="F19" s="561">
        <f t="shared" si="5"/>
        <v>600</v>
      </c>
      <c r="G19" s="561">
        <f t="shared" si="5"/>
        <v>0</v>
      </c>
      <c r="H19" s="561">
        <f t="shared" si="5"/>
        <v>17602</v>
      </c>
      <c r="I19" s="562">
        <f t="shared" si="5"/>
        <v>17302</v>
      </c>
      <c r="J19" s="563">
        <f t="shared" si="5"/>
        <v>1056</v>
      </c>
    </row>
    <row r="20" spans="3:10">
      <c r="C20" s="129"/>
      <c r="D20" s="122" t="s">
        <v>382</v>
      </c>
      <c r="E20" s="564"/>
      <c r="F20" s="564"/>
      <c r="G20" s="564"/>
      <c r="H20" s="565">
        <f>E20+F20-G20</f>
        <v>0</v>
      </c>
      <c r="I20" s="566">
        <f>(E20+H20)/2</f>
        <v>0</v>
      </c>
      <c r="J20" s="567"/>
    </row>
    <row r="21" spans="3:10">
      <c r="C21" s="129"/>
      <c r="D21" s="122" t="s">
        <v>392</v>
      </c>
      <c r="E21" s="564"/>
      <c r="F21" s="564"/>
      <c r="G21" s="564"/>
      <c r="H21" s="565">
        <f>E21+F21-G21</f>
        <v>0</v>
      </c>
      <c r="I21" s="566">
        <f>(E21+H21)/2</f>
        <v>0</v>
      </c>
      <c r="J21" s="567"/>
    </row>
    <row r="22" spans="3:10">
      <c r="C22" s="129"/>
      <c r="D22" s="123" t="s">
        <v>393</v>
      </c>
      <c r="E22" s="564">
        <v>2600</v>
      </c>
      <c r="F22" s="564">
        <v>300</v>
      </c>
      <c r="G22" s="564"/>
      <c r="H22" s="565">
        <f>E22+F22-G22</f>
        <v>2900</v>
      </c>
      <c r="I22" s="566">
        <f>(E22+H22)/2</f>
        <v>2750</v>
      </c>
      <c r="J22" s="567">
        <v>174</v>
      </c>
    </row>
    <row r="23" spans="3:10" ht="13.5" thickBot="1">
      <c r="C23" s="165"/>
      <c r="D23" s="166" t="s">
        <v>399</v>
      </c>
      <c r="E23" s="568">
        <v>14402</v>
      </c>
      <c r="F23" s="568">
        <v>300</v>
      </c>
      <c r="G23" s="568"/>
      <c r="H23" s="569">
        <f>E23+F23-G23</f>
        <v>14702</v>
      </c>
      <c r="I23" s="570">
        <f>(E23+H23)/2</f>
        <v>14552</v>
      </c>
      <c r="J23" s="571">
        <v>882</v>
      </c>
    </row>
    <row r="24" spans="3:10">
      <c r="C24" s="127" t="s">
        <v>402</v>
      </c>
      <c r="D24" s="125" t="s">
        <v>329</v>
      </c>
      <c r="E24" s="572">
        <f t="shared" ref="E24:J24" si="6">SUM(E25:E28)</f>
        <v>0</v>
      </c>
      <c r="F24" s="572">
        <f t="shared" si="6"/>
        <v>0</v>
      </c>
      <c r="G24" s="572">
        <f t="shared" si="6"/>
        <v>0</v>
      </c>
      <c r="H24" s="572">
        <f t="shared" si="6"/>
        <v>0</v>
      </c>
      <c r="I24" s="573">
        <f t="shared" si="6"/>
        <v>0</v>
      </c>
      <c r="J24" s="563">
        <f t="shared" si="6"/>
        <v>0</v>
      </c>
    </row>
    <row r="25" spans="3:10">
      <c r="C25" s="129"/>
      <c r="D25" s="122" t="s">
        <v>382</v>
      </c>
      <c r="E25" s="564"/>
      <c r="F25" s="564"/>
      <c r="G25" s="564"/>
      <c r="H25" s="565">
        <f>E25+F25-G25</f>
        <v>0</v>
      </c>
      <c r="I25" s="566">
        <f>(E25+H25)/2</f>
        <v>0</v>
      </c>
      <c r="J25" s="567"/>
    </row>
    <row r="26" spans="3:10">
      <c r="C26" s="129"/>
      <c r="D26" s="122" t="s">
        <v>392</v>
      </c>
      <c r="E26" s="564"/>
      <c r="F26" s="564"/>
      <c r="G26" s="564"/>
      <c r="H26" s="565">
        <f>E26+F26-G26</f>
        <v>0</v>
      </c>
      <c r="I26" s="566">
        <f>(E26+H26)/2</f>
        <v>0</v>
      </c>
      <c r="J26" s="567"/>
    </row>
    <row r="27" spans="3:10">
      <c r="C27" s="129"/>
      <c r="D27" s="123" t="s">
        <v>393</v>
      </c>
      <c r="E27" s="564"/>
      <c r="F27" s="564"/>
      <c r="G27" s="564"/>
      <c r="H27" s="565">
        <f>E27+F27-G27</f>
        <v>0</v>
      </c>
      <c r="I27" s="566">
        <f>(E27+H27)/2</f>
        <v>0</v>
      </c>
      <c r="J27" s="567"/>
    </row>
    <row r="28" spans="3:10" ht="13.5" thickBot="1">
      <c r="C28" s="130"/>
      <c r="D28" s="124" t="s">
        <v>399</v>
      </c>
      <c r="E28" s="574"/>
      <c r="F28" s="574"/>
      <c r="G28" s="574"/>
      <c r="H28" s="575">
        <f>E28+F28-G28</f>
        <v>0</v>
      </c>
      <c r="I28" s="576">
        <f>(E28+H28)/2</f>
        <v>0</v>
      </c>
      <c r="J28" s="571"/>
    </row>
    <row r="29" spans="3:10" ht="19.5" customHeight="1">
      <c r="C29" s="127" t="s">
        <v>243</v>
      </c>
      <c r="D29" s="167" t="s">
        <v>434</v>
      </c>
      <c r="E29" s="572">
        <f t="shared" ref="E29:J29" si="7">SUM(E30:E32)</f>
        <v>15951</v>
      </c>
      <c r="F29" s="572">
        <f t="shared" si="7"/>
        <v>400</v>
      </c>
      <c r="G29" s="572">
        <f t="shared" si="7"/>
        <v>0</v>
      </c>
      <c r="H29" s="572">
        <f t="shared" si="7"/>
        <v>16351</v>
      </c>
      <c r="I29" s="573">
        <f t="shared" si="7"/>
        <v>16151</v>
      </c>
      <c r="J29" s="577">
        <f t="shared" si="7"/>
        <v>1131</v>
      </c>
    </row>
    <row r="30" spans="3:10">
      <c r="C30" s="129"/>
      <c r="D30" s="122" t="s">
        <v>382</v>
      </c>
      <c r="E30" s="564"/>
      <c r="F30" s="564"/>
      <c r="G30" s="564"/>
      <c r="H30" s="565">
        <f>E30+F30-G30</f>
        <v>0</v>
      </c>
      <c r="I30" s="565">
        <f>(E30+H30)/2</f>
        <v>0</v>
      </c>
      <c r="J30" s="567"/>
    </row>
    <row r="31" spans="3:10">
      <c r="C31" s="129"/>
      <c r="D31" s="122" t="s">
        <v>392</v>
      </c>
      <c r="E31" s="564"/>
      <c r="F31" s="564"/>
      <c r="G31" s="564"/>
      <c r="H31" s="565">
        <f>E31+F31-G31</f>
        <v>0</v>
      </c>
      <c r="I31" s="565">
        <f>(E31+H31)/2</f>
        <v>0</v>
      </c>
      <c r="J31" s="567"/>
    </row>
    <row r="32" spans="3:10">
      <c r="C32" s="129"/>
      <c r="D32" s="123" t="s">
        <v>393</v>
      </c>
      <c r="E32" s="564">
        <v>15951</v>
      </c>
      <c r="F32" s="564">
        <v>400</v>
      </c>
      <c r="G32" s="564"/>
      <c r="H32" s="565">
        <f>E32+F32-G32</f>
        <v>16351</v>
      </c>
      <c r="I32" s="565">
        <f>(E32+H32)/2</f>
        <v>16151</v>
      </c>
      <c r="J32" s="567">
        <v>1131</v>
      </c>
    </row>
    <row r="33" spans="2:10" ht="13.5" thickBot="1">
      <c r="C33" s="130"/>
      <c r="D33" s="124" t="s">
        <v>399</v>
      </c>
      <c r="E33" s="578" t="s">
        <v>430</v>
      </c>
      <c r="F33" s="578" t="s">
        <v>430</v>
      </c>
      <c r="G33" s="578" t="s">
        <v>430</v>
      </c>
      <c r="H33" s="579" t="s">
        <v>430</v>
      </c>
      <c r="I33" s="579" t="s">
        <v>430</v>
      </c>
      <c r="J33" s="580" t="s">
        <v>430</v>
      </c>
    </row>
    <row r="34" spans="2:10" ht="25.5">
      <c r="C34" s="127" t="s">
        <v>248</v>
      </c>
      <c r="D34" s="120" t="s">
        <v>428</v>
      </c>
      <c r="E34" s="572">
        <f t="shared" ref="E34:I34" si="8">SUM(E35:E38)</f>
        <v>32953</v>
      </c>
      <c r="F34" s="572">
        <f t="shared" si="8"/>
        <v>1000</v>
      </c>
      <c r="G34" s="572">
        <f t="shared" si="8"/>
        <v>0</v>
      </c>
      <c r="H34" s="572">
        <f t="shared" si="8"/>
        <v>33953</v>
      </c>
      <c r="I34" s="581">
        <f t="shared" si="8"/>
        <v>33453</v>
      </c>
      <c r="J34" s="577">
        <f>SUM(J35:J38)</f>
        <v>2187</v>
      </c>
    </row>
    <row r="35" spans="2:10">
      <c r="C35" s="128"/>
      <c r="D35" s="123" t="s">
        <v>382</v>
      </c>
      <c r="E35" s="561">
        <f t="shared" ref="E35:J36" si="9">E20+E25+E30</f>
        <v>0</v>
      </c>
      <c r="F35" s="561">
        <f t="shared" si="9"/>
        <v>0</v>
      </c>
      <c r="G35" s="561">
        <f t="shared" si="9"/>
        <v>0</v>
      </c>
      <c r="H35" s="561">
        <f t="shared" si="9"/>
        <v>0</v>
      </c>
      <c r="I35" s="582">
        <f t="shared" si="9"/>
        <v>0</v>
      </c>
      <c r="J35" s="563">
        <f t="shared" si="9"/>
        <v>0</v>
      </c>
    </row>
    <row r="36" spans="2:10">
      <c r="C36" s="128"/>
      <c r="D36" s="123" t="s">
        <v>392</v>
      </c>
      <c r="E36" s="561">
        <f t="shared" si="9"/>
        <v>0</v>
      </c>
      <c r="F36" s="561">
        <f t="shared" si="9"/>
        <v>0</v>
      </c>
      <c r="G36" s="561">
        <f t="shared" si="9"/>
        <v>0</v>
      </c>
      <c r="H36" s="561">
        <f t="shared" si="9"/>
        <v>0</v>
      </c>
      <c r="I36" s="582">
        <f t="shared" si="9"/>
        <v>0</v>
      </c>
      <c r="J36" s="563">
        <f t="shared" si="9"/>
        <v>0</v>
      </c>
    </row>
    <row r="37" spans="2:10">
      <c r="C37" s="128"/>
      <c r="D37" s="123" t="s">
        <v>393</v>
      </c>
      <c r="E37" s="561">
        <f t="shared" ref="E37:I37" si="10">E22+E27+E32</f>
        <v>18551</v>
      </c>
      <c r="F37" s="561">
        <f t="shared" si="10"/>
        <v>700</v>
      </c>
      <c r="G37" s="561">
        <f t="shared" si="10"/>
        <v>0</v>
      </c>
      <c r="H37" s="561">
        <f t="shared" si="10"/>
        <v>19251</v>
      </c>
      <c r="I37" s="582">
        <f t="shared" si="10"/>
        <v>18901</v>
      </c>
      <c r="J37" s="563">
        <f>J22+J27+J32</f>
        <v>1305</v>
      </c>
    </row>
    <row r="38" spans="2:10" ht="13.5" thickBot="1">
      <c r="C38" s="132"/>
      <c r="D38" s="131" t="s">
        <v>399</v>
      </c>
      <c r="E38" s="583">
        <f t="shared" ref="E38:J38" si="11">E23+E28</f>
        <v>14402</v>
      </c>
      <c r="F38" s="583">
        <f t="shared" si="11"/>
        <v>300</v>
      </c>
      <c r="G38" s="583">
        <f t="shared" si="11"/>
        <v>0</v>
      </c>
      <c r="H38" s="583">
        <f t="shared" si="11"/>
        <v>14702</v>
      </c>
      <c r="I38" s="584">
        <f t="shared" si="11"/>
        <v>14552</v>
      </c>
      <c r="J38" s="585">
        <f t="shared" si="11"/>
        <v>882</v>
      </c>
    </row>
    <row r="40" spans="2:10">
      <c r="B40" s="56" t="s">
        <v>431</v>
      </c>
    </row>
  </sheetData>
  <mergeCells count="9">
    <mergeCell ref="D14:H14"/>
    <mergeCell ref="B3:F3"/>
    <mergeCell ref="B6:D6"/>
    <mergeCell ref="B7:D7"/>
    <mergeCell ref="B8:D8"/>
    <mergeCell ref="B9:D9"/>
    <mergeCell ref="B10:D10"/>
    <mergeCell ref="B11:D11"/>
    <mergeCell ref="B5:D5"/>
  </mergeCells>
  <phoneticPr fontId="16" type="noConversion"/>
  <pageMargins left="0.59055118110236227" right="0.27559055118110237" top="0.19685039370078741" bottom="0" header="0" footer="0"/>
  <pageSetup paperSize="9" scale="64" fitToHeight="0" orientation="portrait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>
    <tabColor rgb="FF00B0F0"/>
  </sheetPr>
  <dimension ref="A1:H12"/>
  <sheetViews>
    <sheetView workbookViewId="0">
      <selection activeCell="E11" sqref="E11"/>
    </sheetView>
  </sheetViews>
  <sheetFormatPr defaultRowHeight="12.75"/>
  <cols>
    <col min="1" max="1" width="9.5703125" customWidth="1"/>
    <col min="2" max="2" width="32.7109375" customWidth="1"/>
    <col min="3" max="3" width="12.7109375" hidden="1" customWidth="1"/>
    <col min="4" max="4" width="16.140625" customWidth="1"/>
    <col min="5" max="5" width="14.42578125" customWidth="1"/>
  </cols>
  <sheetData>
    <row r="1" spans="1:8" ht="26.25" customHeight="1">
      <c r="A1" s="1642" t="s">
        <v>790</v>
      </c>
      <c r="B1" s="1642"/>
      <c r="C1" s="1642"/>
      <c r="D1" s="1642"/>
      <c r="E1" s="1642"/>
    </row>
    <row r="3" spans="1:8" ht="25.5">
      <c r="A3" s="328" t="s">
        <v>241</v>
      </c>
      <c r="B3" s="328" t="s">
        <v>560</v>
      </c>
      <c r="C3" s="328" t="s">
        <v>791</v>
      </c>
      <c r="D3" s="328" t="s">
        <v>513</v>
      </c>
      <c r="E3" s="328" t="s">
        <v>514</v>
      </c>
    </row>
    <row r="4" spans="1:8">
      <c r="A4" s="423">
        <v>1</v>
      </c>
      <c r="B4" s="423">
        <v>2</v>
      </c>
      <c r="C4" s="423">
        <v>3</v>
      </c>
      <c r="D4" s="424">
        <v>4</v>
      </c>
      <c r="E4" s="425">
        <v>5</v>
      </c>
    </row>
    <row r="5" spans="1:8">
      <c r="A5" s="329" t="s">
        <v>247</v>
      </c>
      <c r="B5" s="426" t="s">
        <v>794</v>
      </c>
      <c r="C5" s="426"/>
      <c r="D5" s="405">
        <v>23543.026340400025</v>
      </c>
      <c r="E5" s="405">
        <f>'Свод долгосрочный '!F23</f>
        <v>23543.026340400025</v>
      </c>
      <c r="H5">
        <v>2018</v>
      </c>
    </row>
    <row r="6" spans="1:8">
      <c r="A6" s="409" t="s">
        <v>628</v>
      </c>
      <c r="B6" s="426" t="s">
        <v>795</v>
      </c>
      <c r="C6" s="426"/>
      <c r="D6" s="405">
        <v>24909.794309199373</v>
      </c>
      <c r="E6" s="405">
        <f>'Свод долгосрочный '!I23</f>
        <v>24909.794309199373</v>
      </c>
      <c r="H6" s="546">
        <v>2019</v>
      </c>
    </row>
    <row r="7" spans="1:8" ht="38.25">
      <c r="A7" s="409" t="s">
        <v>21</v>
      </c>
      <c r="B7" s="426" t="s">
        <v>792</v>
      </c>
      <c r="C7" s="426"/>
      <c r="D7" s="743">
        <v>0.01</v>
      </c>
      <c r="E7" s="743">
        <f>'Свод долгосрочный '!I6</f>
        <v>0.01</v>
      </c>
    </row>
    <row r="8" spans="1:8" ht="43.5" customHeight="1">
      <c r="A8" s="409" t="s">
        <v>629</v>
      </c>
      <c r="B8" s="426" t="s">
        <v>793</v>
      </c>
      <c r="C8" s="426"/>
      <c r="D8" s="744">
        <v>6.583E-2</v>
      </c>
      <c r="E8" s="743">
        <v>4.4999999999999998E-2</v>
      </c>
    </row>
    <row r="9" spans="1:8">
      <c r="A9" s="409" t="s">
        <v>630</v>
      </c>
      <c r="B9" s="426" t="s">
        <v>797</v>
      </c>
      <c r="C9" s="426"/>
      <c r="D9" s="1153">
        <v>878.05848000000003</v>
      </c>
      <c r="E9" s="744">
        <f>'Свод долгосрочный '!E9</f>
        <v>1009.9793750000001</v>
      </c>
    </row>
    <row r="10" spans="1:8">
      <c r="A10" s="409" t="s">
        <v>44</v>
      </c>
      <c r="B10" s="426" t="s">
        <v>796</v>
      </c>
      <c r="C10" s="426"/>
      <c r="D10" s="1153">
        <v>1013.658175</v>
      </c>
      <c r="E10" s="744">
        <f>'Свод долгосрочный '!H9</f>
        <v>1017.0751750000001</v>
      </c>
    </row>
    <row r="11" spans="1:8">
      <c r="A11" s="409" t="s">
        <v>45</v>
      </c>
      <c r="B11" s="427" t="s">
        <v>798</v>
      </c>
      <c r="C11" s="426"/>
      <c r="D11" s="428">
        <v>0.75</v>
      </c>
      <c r="E11" s="428">
        <f>D11</f>
        <v>0.75</v>
      </c>
    </row>
    <row r="12" spans="1:8">
      <c r="A12" s="409"/>
      <c r="B12" s="410" t="s">
        <v>563</v>
      </c>
      <c r="C12" s="410"/>
      <c r="D12" s="411">
        <v>2809.4196974181723</v>
      </c>
      <c r="E12" s="411">
        <f>E5*(1-E7)*(1+E8)*(1+E11*(E10-E9)/E9)-E6</f>
        <v>-425.01585817969681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9">
    <tabColor rgb="FF00B0F0"/>
  </sheetPr>
  <dimension ref="A2:G22"/>
  <sheetViews>
    <sheetView workbookViewId="0">
      <selection activeCell="F19" sqref="F19"/>
    </sheetView>
  </sheetViews>
  <sheetFormatPr defaultRowHeight="12.75" outlineLevelCol="1"/>
  <cols>
    <col min="1" max="1" width="5.85546875" customWidth="1"/>
    <col min="2" max="2" width="38.7109375" customWidth="1"/>
    <col min="3" max="3" width="13.42578125" customWidth="1"/>
    <col min="4" max="5" width="12.7109375" customWidth="1"/>
    <col min="6" max="6" width="12.5703125" customWidth="1" outlineLevel="1"/>
    <col min="7" max="7" width="12.85546875" customWidth="1" outlineLevel="1"/>
    <col min="8" max="8" width="9" customWidth="1"/>
  </cols>
  <sheetData>
    <row r="2" spans="1:7" ht="18.75">
      <c r="A2" s="1496" t="s">
        <v>1483</v>
      </c>
      <c r="B2" s="1496"/>
      <c r="C2" s="1496"/>
      <c r="D2" s="1496"/>
      <c r="E2" s="1496"/>
      <c r="F2" s="1496"/>
    </row>
    <row r="3" spans="1:7" ht="18.75">
      <c r="A3" s="286"/>
      <c r="B3" s="286"/>
      <c r="C3" s="286"/>
      <c r="D3" s="286"/>
      <c r="E3" s="286"/>
      <c r="F3" s="286"/>
    </row>
    <row r="4" spans="1:7" ht="13.5" customHeight="1">
      <c r="A4" s="1643" t="s">
        <v>241</v>
      </c>
      <c r="B4" s="1643" t="s">
        <v>560</v>
      </c>
      <c r="C4" s="1644" t="s">
        <v>513</v>
      </c>
      <c r="D4" s="1644"/>
      <c r="E4" s="1644"/>
      <c r="F4" s="1644" t="s">
        <v>514</v>
      </c>
      <c r="G4" s="1644"/>
    </row>
    <row r="5" spans="1:7" s="280" customFormat="1" ht="46.5" customHeight="1">
      <c r="A5" s="1643"/>
      <c r="B5" s="1643"/>
      <c r="C5" s="328" t="s">
        <v>1480</v>
      </c>
      <c r="D5" s="328" t="s">
        <v>1481</v>
      </c>
      <c r="E5" s="328" t="s">
        <v>561</v>
      </c>
      <c r="F5" s="328" t="s">
        <v>1482</v>
      </c>
      <c r="G5" s="328" t="s">
        <v>561</v>
      </c>
    </row>
    <row r="6" spans="1:7" s="400" customFormat="1" ht="13.5" customHeight="1">
      <c r="A6" s="329">
        <v>1</v>
      </c>
      <c r="B6" s="329">
        <v>2</v>
      </c>
      <c r="C6" s="330">
        <v>5</v>
      </c>
      <c r="D6" s="330">
        <v>6</v>
      </c>
      <c r="E6" s="330">
        <v>7</v>
      </c>
      <c r="F6" s="330">
        <v>8</v>
      </c>
      <c r="G6" s="404">
        <v>9</v>
      </c>
    </row>
    <row r="7" spans="1:7" s="400" customFormat="1" ht="13.5" customHeight="1">
      <c r="A7" s="206" t="s">
        <v>627</v>
      </c>
      <c r="B7" s="212" t="s">
        <v>85</v>
      </c>
      <c r="C7" s="405"/>
      <c r="D7" s="406"/>
      <c r="E7" s="406">
        <f>D7-C7</f>
        <v>0</v>
      </c>
      <c r="F7" s="405"/>
      <c r="G7" s="407">
        <f>F7-C7</f>
        <v>0</v>
      </c>
    </row>
    <row r="8" spans="1:7" s="280" customFormat="1" ht="16.5" customHeight="1">
      <c r="A8" s="206" t="s">
        <v>628</v>
      </c>
      <c r="B8" s="212" t="s">
        <v>86</v>
      </c>
      <c r="C8" s="405">
        <f>'Свод долгосрочный '!I48</f>
        <v>0</v>
      </c>
      <c r="D8" s="406">
        <v>0</v>
      </c>
      <c r="E8" s="406">
        <f t="shared" ref="E8:E18" si="0">D8-C8</f>
        <v>0</v>
      </c>
      <c r="F8" s="405">
        <f>'Свод долгосрочный '!H48</f>
        <v>20.8</v>
      </c>
      <c r="G8" s="407">
        <f>F8-C8</f>
        <v>20.8</v>
      </c>
    </row>
    <row r="9" spans="1:7" s="280" customFormat="1" ht="16.7" customHeight="1">
      <c r="A9" s="206" t="s">
        <v>21</v>
      </c>
      <c r="B9" s="4" t="s">
        <v>485</v>
      </c>
      <c r="C9" s="405">
        <f>'Свод долгосрочный '!I49</f>
        <v>0</v>
      </c>
      <c r="D9" s="406">
        <v>77</v>
      </c>
      <c r="E9" s="406">
        <f t="shared" si="0"/>
        <v>77</v>
      </c>
      <c r="F9" s="405">
        <f>'Свод долгосрочный '!H49</f>
        <v>43.737328772269493</v>
      </c>
      <c r="G9" s="407">
        <f t="shared" ref="G9:G18" si="1">F9-C9</f>
        <v>43.737328772269493</v>
      </c>
    </row>
    <row r="10" spans="1:7" s="280" customFormat="1" ht="15.75" customHeight="1">
      <c r="A10" s="206" t="s">
        <v>629</v>
      </c>
      <c r="B10" s="212" t="s">
        <v>590</v>
      </c>
      <c r="C10" s="405">
        <f>'Свод долгосрочный '!I50</f>
        <v>5.7169999999999996</v>
      </c>
      <c r="D10" s="406">
        <v>482.5</v>
      </c>
      <c r="E10" s="406">
        <f t="shared" si="0"/>
        <v>476.78300000000002</v>
      </c>
      <c r="F10" s="405">
        <f>'Свод долгосрочный '!H50</f>
        <v>328.70274000000001</v>
      </c>
      <c r="G10" s="407">
        <f t="shared" si="1"/>
        <v>322.98574000000002</v>
      </c>
    </row>
    <row r="11" spans="1:7" s="280" customFormat="1" ht="15" customHeight="1">
      <c r="A11" s="206" t="s">
        <v>630</v>
      </c>
      <c r="B11" s="4" t="s">
        <v>89</v>
      </c>
      <c r="C11" s="405">
        <f>'Свод долгосрочный '!I52</f>
        <v>25</v>
      </c>
      <c r="D11" s="406">
        <v>58</v>
      </c>
      <c r="E11" s="406">
        <f t="shared" si="0"/>
        <v>33</v>
      </c>
      <c r="F11" s="405">
        <f>'Свод долгосрочный '!H52</f>
        <v>41.914420057595628</v>
      </c>
      <c r="G11" s="407">
        <f t="shared" si="1"/>
        <v>16.914420057595628</v>
      </c>
    </row>
    <row r="12" spans="1:7" s="280" customFormat="1" ht="15" customHeight="1">
      <c r="A12" s="206" t="s">
        <v>44</v>
      </c>
      <c r="B12" s="212" t="s">
        <v>91</v>
      </c>
      <c r="C12" s="405"/>
      <c r="D12" s="406"/>
      <c r="E12" s="406">
        <f t="shared" si="0"/>
        <v>0</v>
      </c>
      <c r="F12" s="405"/>
      <c r="G12" s="407">
        <f t="shared" si="1"/>
        <v>0</v>
      </c>
    </row>
    <row r="13" spans="1:7" s="280" customFormat="1" ht="15" customHeight="1">
      <c r="A13" s="206" t="s">
        <v>45</v>
      </c>
      <c r="B13" s="212" t="s">
        <v>93</v>
      </c>
      <c r="C13" s="405">
        <f>'Свод долгосрочный '!I58</f>
        <v>28.488400000000002</v>
      </c>
      <c r="D13" s="406">
        <v>95</v>
      </c>
      <c r="E13" s="406">
        <f t="shared" si="0"/>
        <v>66.511600000000001</v>
      </c>
      <c r="F13" s="405">
        <f>'Свод долгосрочный '!H58</f>
        <v>53.263249999999999</v>
      </c>
      <c r="G13" s="407">
        <f t="shared" si="1"/>
        <v>24.774849999999997</v>
      </c>
    </row>
    <row r="14" spans="1:7" s="280" customFormat="1" ht="15" customHeight="1">
      <c r="A14" s="206" t="s">
        <v>46</v>
      </c>
      <c r="B14" s="212" t="s">
        <v>94</v>
      </c>
      <c r="C14" s="405">
        <f>'Свод долгосрочный '!I59</f>
        <v>4764.0258029149791</v>
      </c>
      <c r="D14" s="406">
        <v>3269.5</v>
      </c>
      <c r="E14" s="406">
        <f t="shared" si="0"/>
        <v>-1494.5258029149791</v>
      </c>
      <c r="F14" s="405">
        <f>'Свод долгосрочный '!H59</f>
        <v>3183</v>
      </c>
      <c r="G14" s="407">
        <f t="shared" si="1"/>
        <v>-1581.0258029149791</v>
      </c>
    </row>
    <row r="15" spans="1:7" s="280" customFormat="1" ht="15" customHeight="1">
      <c r="A15" s="206" t="s">
        <v>631</v>
      </c>
      <c r="B15" s="212" t="s">
        <v>98</v>
      </c>
      <c r="C15" s="405">
        <f>'Свод долгосрочный '!I61</f>
        <v>1111</v>
      </c>
      <c r="D15" s="406">
        <v>1343.88</v>
      </c>
      <c r="E15" s="406">
        <f t="shared" si="0"/>
        <v>232.88000000000011</v>
      </c>
      <c r="F15" s="405">
        <f>'Свод долгосрочный '!H61</f>
        <v>1176.3622016497729</v>
      </c>
      <c r="G15" s="407">
        <f t="shared" si="1"/>
        <v>65.362201649772942</v>
      </c>
    </row>
    <row r="16" spans="1:7" s="280" customFormat="1" ht="41.25" customHeight="1">
      <c r="A16" s="206" t="s">
        <v>311</v>
      </c>
      <c r="B16" s="408" t="s">
        <v>562</v>
      </c>
      <c r="C16" s="405">
        <f>'Свод долгосрочный '!I62</f>
        <v>0</v>
      </c>
      <c r="D16" s="406"/>
      <c r="E16" s="406">
        <f t="shared" si="0"/>
        <v>0</v>
      </c>
      <c r="F16" s="405">
        <f>'Свод долгосрочный '!H62</f>
        <v>0</v>
      </c>
      <c r="G16" s="407">
        <f t="shared" si="1"/>
        <v>0</v>
      </c>
    </row>
    <row r="17" spans="1:7" s="280" customFormat="1" ht="15" customHeight="1">
      <c r="A17" s="206" t="s">
        <v>314</v>
      </c>
      <c r="B17" s="212" t="s">
        <v>95</v>
      </c>
      <c r="C17" s="405">
        <f>'Свод долгосрочный '!I60</f>
        <v>0</v>
      </c>
      <c r="D17" s="406"/>
      <c r="E17" s="406">
        <f t="shared" si="0"/>
        <v>0</v>
      </c>
      <c r="F17" s="405">
        <f>'Свод долгосрочный '!H60</f>
        <v>0</v>
      </c>
      <c r="G17" s="407">
        <f t="shared" si="1"/>
        <v>0</v>
      </c>
    </row>
    <row r="18" spans="1:7" s="280" customFormat="1" ht="15" customHeight="1">
      <c r="A18" s="206" t="s">
        <v>1425</v>
      </c>
      <c r="B18" s="212" t="s">
        <v>427</v>
      </c>
      <c r="C18" s="405">
        <f>'Свод долгосрочный '!I63</f>
        <v>1439.6507239853941</v>
      </c>
      <c r="D18" s="406">
        <v>1823.9</v>
      </c>
      <c r="E18" s="406">
        <f t="shared" si="0"/>
        <v>384.24927601460604</v>
      </c>
      <c r="F18" s="405">
        <f>'Свод долгосрочный '!H63</f>
        <v>1817.4237599999999</v>
      </c>
      <c r="G18" s="407">
        <f t="shared" si="1"/>
        <v>377.77303601460585</v>
      </c>
    </row>
    <row r="19" spans="1:7" s="280" customFormat="1" ht="21.75" customHeight="1">
      <c r="A19" s="409"/>
      <c r="B19" s="410" t="s">
        <v>563</v>
      </c>
      <c r="C19" s="411">
        <f>SUM(C7:C18)</f>
        <v>7373.8819269003725</v>
      </c>
      <c r="D19" s="411">
        <f>SUM(D7:D18)</f>
        <v>7149.7800000000007</v>
      </c>
      <c r="E19" s="411">
        <f>SUM(E7:E18)</f>
        <v>-224.10192690037286</v>
      </c>
      <c r="F19" s="411">
        <f>SUM(F7:F18)</f>
        <v>6665.2037004796375</v>
      </c>
      <c r="G19" s="411">
        <f>SUM(G7:G18)</f>
        <v>-708.6782264207352</v>
      </c>
    </row>
    <row r="21" spans="1:7" ht="15" customHeight="1">
      <c r="C21" s="547"/>
    </row>
    <row r="22" spans="1:7">
      <c r="C22" s="546"/>
    </row>
  </sheetData>
  <mergeCells count="5">
    <mergeCell ref="A2:F2"/>
    <mergeCell ref="A4:A5"/>
    <mergeCell ref="B4:B5"/>
    <mergeCell ref="C4:E4"/>
    <mergeCell ref="F4:G4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11">
    <tabColor rgb="FF00B0F0"/>
  </sheetPr>
  <dimension ref="A1:L94"/>
  <sheetViews>
    <sheetView topLeftCell="A43" workbookViewId="0">
      <selection activeCell="E19" sqref="E19"/>
    </sheetView>
  </sheetViews>
  <sheetFormatPr defaultRowHeight="12.75" outlineLevelCol="1"/>
  <cols>
    <col min="1" max="1" width="18.5703125" style="1" customWidth="1"/>
    <col min="2" max="2" width="14.140625" style="1" customWidth="1"/>
    <col min="3" max="3" width="11.5703125" style="1" customWidth="1"/>
    <col min="4" max="4" width="11.7109375" style="1" customWidth="1"/>
    <col min="5" max="5" width="14.28515625" style="1" customWidth="1"/>
    <col min="6" max="6" width="13.28515625" style="1" customWidth="1"/>
    <col min="7" max="7" width="11.42578125" style="1" customWidth="1"/>
    <col min="8" max="8" width="12.7109375" style="1" customWidth="1" outlineLevel="1"/>
    <col min="9" max="16384" width="9.140625" style="1"/>
  </cols>
  <sheetData>
    <row r="1" spans="1:8" s="280" customFormat="1" ht="57.75" customHeight="1">
      <c r="A1" s="1646" t="s">
        <v>1484</v>
      </c>
      <c r="B1" s="1646"/>
      <c r="C1" s="1646"/>
      <c r="D1" s="1646"/>
      <c r="E1" s="1646"/>
      <c r="F1" s="1646"/>
      <c r="G1" s="1646"/>
      <c r="H1" s="1646"/>
    </row>
    <row r="2" spans="1:8" ht="72.75" customHeight="1">
      <c r="A2" s="1647" t="s">
        <v>605</v>
      </c>
      <c r="B2" s="1647" t="s">
        <v>606</v>
      </c>
      <c r="C2" s="1647"/>
      <c r="D2" s="1647" t="s">
        <v>632</v>
      </c>
      <c r="E2" s="1647" t="s">
        <v>607</v>
      </c>
      <c r="F2" s="1647"/>
      <c r="G2" s="1647" t="s">
        <v>608</v>
      </c>
      <c r="H2" s="1647"/>
    </row>
    <row r="3" spans="1:8" s="401" customFormat="1" ht="38.25">
      <c r="A3" s="1647"/>
      <c r="B3" s="412" t="s">
        <v>609</v>
      </c>
      <c r="C3" s="412" t="s">
        <v>511</v>
      </c>
      <c r="D3" s="1647"/>
      <c r="E3" s="412" t="s">
        <v>610</v>
      </c>
      <c r="F3" s="412" t="s">
        <v>611</v>
      </c>
      <c r="G3" s="328" t="s">
        <v>513</v>
      </c>
      <c r="H3" s="328" t="s">
        <v>514</v>
      </c>
    </row>
    <row r="4" spans="1:8" s="402" customFormat="1" ht="9">
      <c r="A4" s="413" t="s">
        <v>267</v>
      </c>
      <c r="B4" s="413" t="s">
        <v>453</v>
      </c>
      <c r="C4" s="413" t="s">
        <v>453</v>
      </c>
      <c r="D4" s="413" t="s">
        <v>280</v>
      </c>
      <c r="E4" s="413" t="s">
        <v>612</v>
      </c>
      <c r="F4" s="413" t="s">
        <v>612</v>
      </c>
      <c r="G4" s="413" t="s">
        <v>292</v>
      </c>
      <c r="H4" s="413" t="s">
        <v>292</v>
      </c>
    </row>
    <row r="5" spans="1:8" hidden="1">
      <c r="A5" s="414" t="s">
        <v>613</v>
      </c>
      <c r="B5" s="414"/>
      <c r="C5" s="414"/>
      <c r="D5" s="414"/>
      <c r="E5" s="414"/>
      <c r="F5" s="414"/>
      <c r="G5" s="414"/>
      <c r="H5" s="26"/>
    </row>
    <row r="6" spans="1:8" hidden="1">
      <c r="A6" s="415" t="s">
        <v>614</v>
      </c>
      <c r="B6" s="416"/>
      <c r="C6" s="417"/>
      <c r="D6" s="417"/>
      <c r="E6" s="418">
        <f>C6</f>
        <v>0</v>
      </c>
      <c r="F6" s="417"/>
      <c r="G6" s="419" t="s">
        <v>246</v>
      </c>
      <c r="H6" s="26"/>
    </row>
    <row r="7" spans="1:8" hidden="1">
      <c r="A7" s="415" t="s">
        <v>615</v>
      </c>
      <c r="B7" s="416"/>
      <c r="C7" s="417"/>
      <c r="D7" s="417"/>
      <c r="E7" s="418">
        <f t="shared" ref="E7:E17" si="0">C7</f>
        <v>0</v>
      </c>
      <c r="F7" s="417"/>
      <c r="G7" s="419" t="s">
        <v>246</v>
      </c>
      <c r="H7" s="26"/>
    </row>
    <row r="8" spans="1:8" hidden="1">
      <c r="A8" s="415" t="s">
        <v>616</v>
      </c>
      <c r="B8" s="416"/>
      <c r="C8" s="417"/>
      <c r="D8" s="417"/>
      <c r="E8" s="418">
        <f t="shared" si="0"/>
        <v>0</v>
      </c>
      <c r="F8" s="417"/>
      <c r="G8" s="419" t="s">
        <v>246</v>
      </c>
      <c r="H8" s="26"/>
    </row>
    <row r="9" spans="1:8" hidden="1">
      <c r="A9" s="415" t="s">
        <v>617</v>
      </c>
      <c r="B9" s="416"/>
      <c r="C9" s="417"/>
      <c r="D9" s="417"/>
      <c r="E9" s="418">
        <f t="shared" si="0"/>
        <v>0</v>
      </c>
      <c r="F9" s="417"/>
      <c r="G9" s="419" t="s">
        <v>246</v>
      </c>
      <c r="H9" s="26"/>
    </row>
    <row r="10" spans="1:8" hidden="1">
      <c r="A10" s="415" t="s">
        <v>618</v>
      </c>
      <c r="B10" s="416"/>
      <c r="C10" s="417"/>
      <c r="D10" s="417"/>
      <c r="E10" s="418">
        <f t="shared" si="0"/>
        <v>0</v>
      </c>
      <c r="F10" s="417"/>
      <c r="G10" s="419" t="s">
        <v>246</v>
      </c>
      <c r="H10" s="26"/>
    </row>
    <row r="11" spans="1:8" hidden="1">
      <c r="A11" s="415" t="s">
        <v>619</v>
      </c>
      <c r="B11" s="416"/>
      <c r="C11" s="417"/>
      <c r="D11" s="417"/>
      <c r="E11" s="418">
        <f t="shared" si="0"/>
        <v>0</v>
      </c>
      <c r="F11" s="417"/>
      <c r="G11" s="419" t="s">
        <v>246</v>
      </c>
      <c r="H11" s="26"/>
    </row>
    <row r="12" spans="1:8" hidden="1">
      <c r="A12" s="415" t="s">
        <v>620</v>
      </c>
      <c r="B12" s="416"/>
      <c r="C12" s="417"/>
      <c r="D12" s="417"/>
      <c r="E12" s="418">
        <f t="shared" si="0"/>
        <v>0</v>
      </c>
      <c r="F12" s="417"/>
      <c r="G12" s="419" t="s">
        <v>246</v>
      </c>
      <c r="H12" s="26"/>
    </row>
    <row r="13" spans="1:8" hidden="1">
      <c r="A13" s="415" t="s">
        <v>621</v>
      </c>
      <c r="B13" s="416"/>
      <c r="C13" s="417"/>
      <c r="D13" s="417"/>
      <c r="E13" s="418">
        <f t="shared" si="0"/>
        <v>0</v>
      </c>
      <c r="F13" s="417"/>
      <c r="G13" s="419" t="s">
        <v>246</v>
      </c>
      <c r="H13" s="26"/>
    </row>
    <row r="14" spans="1:8" hidden="1">
      <c r="A14" s="415" t="s">
        <v>622</v>
      </c>
      <c r="B14" s="416"/>
      <c r="C14" s="417"/>
      <c r="D14" s="417"/>
      <c r="E14" s="418">
        <f t="shared" si="0"/>
        <v>0</v>
      </c>
      <c r="F14" s="417"/>
      <c r="G14" s="419" t="s">
        <v>246</v>
      </c>
      <c r="H14" s="26"/>
    </row>
    <row r="15" spans="1:8" hidden="1">
      <c r="A15" s="415" t="s">
        <v>623</v>
      </c>
      <c r="B15" s="416"/>
      <c r="C15" s="417"/>
      <c r="D15" s="417"/>
      <c r="E15" s="418">
        <f t="shared" si="0"/>
        <v>0</v>
      </c>
      <c r="F15" s="417"/>
      <c r="G15" s="419" t="s">
        <v>246</v>
      </c>
      <c r="H15" s="26"/>
    </row>
    <row r="16" spans="1:8" hidden="1">
      <c r="A16" s="415" t="s">
        <v>624</v>
      </c>
      <c r="B16" s="416"/>
      <c r="C16" s="417"/>
      <c r="D16" s="417"/>
      <c r="E16" s="418">
        <f t="shared" si="0"/>
        <v>0</v>
      </c>
      <c r="F16" s="417"/>
      <c r="G16" s="419" t="s">
        <v>246</v>
      </c>
      <c r="H16" s="26"/>
    </row>
    <row r="17" spans="1:10" hidden="1">
      <c r="A17" s="415" t="s">
        <v>625</v>
      </c>
      <c r="B17" s="416"/>
      <c r="C17" s="417"/>
      <c r="D17" s="417"/>
      <c r="E17" s="418">
        <f t="shared" si="0"/>
        <v>0</v>
      </c>
      <c r="F17" s="417"/>
      <c r="G17" s="419" t="s">
        <v>246</v>
      </c>
      <c r="H17" s="26"/>
    </row>
    <row r="18" spans="1:10" hidden="1">
      <c r="A18" s="420" t="s">
        <v>626</v>
      </c>
      <c r="B18" s="421">
        <f>SUM(B6:B17)</f>
        <v>0</v>
      </c>
      <c r="C18" s="421"/>
      <c r="D18" s="421"/>
      <c r="E18" s="421"/>
      <c r="F18" s="421"/>
      <c r="G18" s="422" t="e">
        <f>IF(#REF!&gt;#REF!,#REF!-#REF!,IF(#REF!&gt;#REF!,(#REF!/#REF!-E17/1000)*#REF!,#REF!-#REF!))</f>
        <v>#REF!</v>
      </c>
      <c r="H18" s="26"/>
    </row>
    <row r="19" spans="1:10" ht="12.75" customHeight="1">
      <c r="A19" s="415" t="s">
        <v>614</v>
      </c>
      <c r="B19" s="430">
        <v>2867</v>
      </c>
      <c r="C19" s="431">
        <f>2295.043+481+181.096</f>
        <v>2957.1390000000001</v>
      </c>
      <c r="D19" s="432">
        <v>0.16769999999999999</v>
      </c>
      <c r="E19" s="1080">
        <v>2803.6217040000001</v>
      </c>
      <c r="F19" s="1080">
        <f>2060086.72/(481000+181096)*1000</f>
        <v>3111.4622652908338</v>
      </c>
      <c r="G19" s="434">
        <v>191355.77930252792</v>
      </c>
      <c r="H19" s="433">
        <f>(C19-B19)*D19*F19+B19*(F19-E19)*D19</f>
        <v>195042.30881120873</v>
      </c>
      <c r="J19" s="1" t="s">
        <v>1486</v>
      </c>
    </row>
    <row r="20" spans="1:10" ht="12.75" customHeight="1">
      <c r="A20" s="415" t="s">
        <v>615</v>
      </c>
      <c r="B20" s="430">
        <v>2309</v>
      </c>
      <c r="C20" s="431">
        <f>2109.577+387+154.454</f>
        <v>2651.0310000000004</v>
      </c>
      <c r="D20" s="429">
        <f>D19</f>
        <v>0.16769999999999999</v>
      </c>
      <c r="E20" s="1080">
        <v>2803.6217040000001</v>
      </c>
      <c r="F20" s="1080">
        <f>1825920.05/(387000+154454)*1000</f>
        <v>3372.2533216118086</v>
      </c>
      <c r="G20" s="434">
        <v>410165.88391939679</v>
      </c>
      <c r="H20" s="433">
        <f t="shared" ref="H20:H30" si="1">(C20-B20)*D20*F20+B20*(F20-E20)*D20</f>
        <v>413612.86191858607</v>
      </c>
    </row>
    <row r="21" spans="1:10" ht="12.75" customHeight="1">
      <c r="A21" s="415" t="s">
        <v>616</v>
      </c>
      <c r="B21" s="430">
        <v>2432</v>
      </c>
      <c r="C21" s="431">
        <f>1925.347+408+395.015</f>
        <v>2728.3619999999996</v>
      </c>
      <c r="D21" s="429">
        <f t="shared" ref="D21:D30" si="2">D20</f>
        <v>0.16769999999999999</v>
      </c>
      <c r="E21" s="1080">
        <v>2803.6217040000001</v>
      </c>
      <c r="F21" s="1080">
        <f>2621958.21/(408000+395015)*1000</f>
        <v>3265.1422576166074</v>
      </c>
      <c r="G21" s="434">
        <v>344389.05203521275</v>
      </c>
      <c r="H21" s="433">
        <f t="shared" si="1"/>
        <v>350506.76416991238</v>
      </c>
    </row>
    <row r="22" spans="1:10" ht="12.75" customHeight="1">
      <c r="A22" s="415" t="s">
        <v>617</v>
      </c>
      <c r="B22" s="430">
        <v>2130</v>
      </c>
      <c r="C22" s="431">
        <f>1889.382+357+43.163</f>
        <v>2289.5450000000001</v>
      </c>
      <c r="D22" s="429">
        <f t="shared" si="2"/>
        <v>0.16769999999999999</v>
      </c>
      <c r="E22" s="1080">
        <v>2803.6217040000001</v>
      </c>
      <c r="F22" s="1080">
        <f>1390950.47/(357000+43163)*1000</f>
        <v>3475.9597214135242</v>
      </c>
      <c r="G22" s="434">
        <v>332035.68749337498</v>
      </c>
      <c r="H22" s="433">
        <f t="shared" si="1"/>
        <v>333161.53551049303</v>
      </c>
    </row>
    <row r="23" spans="1:10" ht="12.75" customHeight="1">
      <c r="A23" s="415" t="s">
        <v>618</v>
      </c>
      <c r="B23" s="430">
        <v>2089</v>
      </c>
      <c r="C23" s="431">
        <f>1724.599+331.782</f>
        <v>2056.3809999999999</v>
      </c>
      <c r="D23" s="429">
        <f t="shared" si="2"/>
        <v>0.16769999999999999</v>
      </c>
      <c r="E23" s="1080">
        <v>2803.6217040000001</v>
      </c>
      <c r="F23" s="1080">
        <f>1022375.62/331782*1000</f>
        <v>3081.4680121284459</v>
      </c>
      <c r="G23" s="434">
        <v>80480.259838540471</v>
      </c>
      <c r="H23" s="433">
        <f t="shared" si="1"/>
        <v>80480.32551579662</v>
      </c>
    </row>
    <row r="24" spans="1:10" ht="12.75" customHeight="1">
      <c r="A24" s="415" t="s">
        <v>619</v>
      </c>
      <c r="B24" s="430">
        <v>1874</v>
      </c>
      <c r="C24" s="431">
        <f>1690.873+193.808</f>
        <v>1884.681</v>
      </c>
      <c r="D24" s="429">
        <f t="shared" si="2"/>
        <v>0.16769999999999999</v>
      </c>
      <c r="E24" s="1080">
        <v>2803.6217040000001</v>
      </c>
      <c r="F24" s="1080">
        <f>622126.01/193808*1000</f>
        <v>3210.0120222075457</v>
      </c>
      <c r="G24" s="434">
        <v>133466.13799149985</v>
      </c>
      <c r="H24" s="433">
        <f t="shared" si="1"/>
        <v>133465.98943624433</v>
      </c>
    </row>
    <row r="25" spans="1:10" ht="12.75" customHeight="1">
      <c r="A25" s="415" t="s">
        <v>620</v>
      </c>
      <c r="B25" s="430">
        <v>1984</v>
      </c>
      <c r="C25" s="431">
        <f>1681.758+333+138.711</f>
        <v>2153.4690000000001</v>
      </c>
      <c r="D25" s="429">
        <f t="shared" si="2"/>
        <v>0.16769999999999999</v>
      </c>
      <c r="E25" s="1080">
        <v>3325.343773841797</v>
      </c>
      <c r="F25" s="1080">
        <f>1627809.52/(333000+138711)*1000</f>
        <v>3450.8619048527594</v>
      </c>
      <c r="G25" s="434">
        <v>164273.55792050387</v>
      </c>
      <c r="H25" s="433">
        <f t="shared" si="1"/>
        <v>139835.31817088884</v>
      </c>
    </row>
    <row r="26" spans="1:10" ht="12.75" customHeight="1">
      <c r="A26" s="415" t="s">
        <v>621</v>
      </c>
      <c r="B26" s="430">
        <v>2013</v>
      </c>
      <c r="C26" s="431">
        <f>1746.773+338+215.014</f>
        <v>2299.7870000000003</v>
      </c>
      <c r="D26" s="429">
        <f t="shared" si="2"/>
        <v>0.16769999999999999</v>
      </c>
      <c r="E26" s="1080">
        <v>3325.343773841797</v>
      </c>
      <c r="F26" s="1080">
        <f>1981764.87/(338000+215014)*1000</f>
        <v>3583.5708860896834</v>
      </c>
      <c r="G26" s="434">
        <v>230298.00060100289</v>
      </c>
      <c r="H26" s="433">
        <f t="shared" si="1"/>
        <v>259521.23725535255</v>
      </c>
    </row>
    <row r="27" spans="1:10" ht="12.75" customHeight="1">
      <c r="A27" s="415" t="s">
        <v>622</v>
      </c>
      <c r="B27" s="430">
        <v>2010</v>
      </c>
      <c r="C27" s="431">
        <f>1802.146+337+57.177</f>
        <v>2196.3229999999999</v>
      </c>
      <c r="D27" s="429">
        <f t="shared" si="2"/>
        <v>0.16769999999999999</v>
      </c>
      <c r="E27" s="1080">
        <v>3325.343773841797</v>
      </c>
      <c r="F27" s="1080">
        <f>1499474.37/(337000+57177)*1000</f>
        <v>3804.0635805742095</v>
      </c>
      <c r="G27" s="434">
        <v>292523.34039927227</v>
      </c>
      <c r="H27" s="433">
        <f t="shared" si="1"/>
        <v>280228.60340430349</v>
      </c>
    </row>
    <row r="28" spans="1:10" ht="12.75" customHeight="1">
      <c r="A28" s="415" t="s">
        <v>623</v>
      </c>
      <c r="B28" s="430">
        <v>2285</v>
      </c>
      <c r="C28" s="431">
        <f>1952.412+383+150.183</f>
        <v>2485.5950000000003</v>
      </c>
      <c r="D28" s="429">
        <f t="shared" si="2"/>
        <v>0.16769999999999999</v>
      </c>
      <c r="E28" s="1080">
        <v>3325.343773841797</v>
      </c>
      <c r="F28" s="1080">
        <f>1946864.62/(383000+150183)*1000</f>
        <v>3651.4004009880287</v>
      </c>
      <c r="G28" s="434">
        <v>274794.1497096644</v>
      </c>
      <c r="H28" s="433">
        <f t="shared" si="1"/>
        <v>247775.41786923649</v>
      </c>
    </row>
    <row r="29" spans="1:10" ht="12.75" customHeight="1">
      <c r="A29" s="415" t="s">
        <v>624</v>
      </c>
      <c r="B29" s="430">
        <v>2529</v>
      </c>
      <c r="C29" s="431">
        <f>1972.478+424+279.495</f>
        <v>2675.973</v>
      </c>
      <c r="D29" s="429">
        <f t="shared" si="2"/>
        <v>0.16769999999999999</v>
      </c>
      <c r="E29" s="1080">
        <v>3325.343773841797</v>
      </c>
      <c r="F29" s="1080">
        <f>2390454.13/(424000+279495)*1000</f>
        <v>3397.9688981442655</v>
      </c>
      <c r="G29" s="434">
        <v>155581.17262455344</v>
      </c>
      <c r="H29" s="433">
        <f t="shared" si="1"/>
        <v>114552.2849476188</v>
      </c>
    </row>
    <row r="30" spans="1:10" ht="12.75" customHeight="1">
      <c r="A30" s="415" t="s">
        <v>625</v>
      </c>
      <c r="B30" s="430">
        <v>2640</v>
      </c>
      <c r="C30" s="431">
        <f>1863.295+443+443.699</f>
        <v>2749.9940000000001</v>
      </c>
      <c r="D30" s="429">
        <f t="shared" si="2"/>
        <v>0.16769999999999999</v>
      </c>
      <c r="E30" s="1080">
        <v>3325.343773841797</v>
      </c>
      <c r="F30" s="1080">
        <f>3098810.21/(443000+443699)*1000</f>
        <v>3494.7712921746838</v>
      </c>
      <c r="G30" s="434">
        <v>192262.98238130572</v>
      </c>
      <c r="H30" s="433">
        <f t="shared" si="1"/>
        <v>139474.83592435461</v>
      </c>
    </row>
    <row r="31" spans="1:10" ht="12.75" customHeight="1">
      <c r="A31" s="420" t="s">
        <v>626</v>
      </c>
      <c r="B31" s="435">
        <f>SUM(B19:B30)</f>
        <v>27162</v>
      </c>
      <c r="C31" s="435">
        <f>SUM(C19:C30)</f>
        <v>29128.28</v>
      </c>
      <c r="D31" s="429">
        <f>D19</f>
        <v>0.16769999999999999</v>
      </c>
      <c r="E31" s="436" t="s">
        <v>246</v>
      </c>
      <c r="F31" s="436" t="s">
        <v>246</v>
      </c>
      <c r="G31" s="435">
        <f>2801626.00421686/1000</f>
        <v>2801.6260042168601</v>
      </c>
      <c r="H31" s="435">
        <f>SUM(H19:H30)/1000</f>
        <v>2687.6574829339952</v>
      </c>
    </row>
    <row r="32" spans="1:10" s="280" customFormat="1"/>
    <row r="33" spans="1:12" s="280" customFormat="1">
      <c r="C33" s="280">
        <v>29.128</v>
      </c>
    </row>
    <row r="34" spans="1:12" s="280" customFormat="1">
      <c r="I34" s="1645"/>
      <c r="J34" s="1645"/>
      <c r="K34" s="1645"/>
      <c r="L34" s="1645"/>
    </row>
    <row r="35" spans="1:12" s="280" customFormat="1">
      <c r="G35" s="403"/>
      <c r="H35" s="403"/>
      <c r="I35" s="403"/>
      <c r="J35" s="403"/>
      <c r="K35" s="403"/>
    </row>
    <row r="36" spans="1:12" s="280" customFormat="1">
      <c r="C36" s="1437"/>
      <c r="G36" s="403"/>
      <c r="H36" s="403"/>
      <c r="I36" s="403"/>
      <c r="J36" s="403"/>
      <c r="K36" s="403"/>
    </row>
    <row r="37" spans="1:12" s="280" customFormat="1">
      <c r="G37" s="403"/>
      <c r="H37" s="403"/>
      <c r="I37" s="403"/>
      <c r="J37" s="403"/>
      <c r="K37" s="403"/>
    </row>
    <row r="38" spans="1:12" s="280" customFormat="1">
      <c r="G38" s="403"/>
      <c r="H38" s="403"/>
      <c r="I38" s="403"/>
      <c r="J38" s="403"/>
      <c r="K38" s="403"/>
    </row>
    <row r="39" spans="1:12" s="280" customFormat="1">
      <c r="G39" s="403"/>
      <c r="H39" s="403"/>
      <c r="I39" s="403"/>
      <c r="J39" s="403"/>
      <c r="K39" s="403"/>
    </row>
    <row r="40" spans="1:12" s="280" customFormat="1" ht="63.75">
      <c r="A40" s="361" t="s">
        <v>1492</v>
      </c>
      <c r="B40" s="1423">
        <f>B41+B42</f>
        <v>29128.28</v>
      </c>
      <c r="C40" s="1"/>
      <c r="D40" s="1"/>
      <c r="E40" s="1"/>
      <c r="F40" s="1436">
        <f>2295.043</f>
        <v>2295.0430000000001</v>
      </c>
      <c r="G40" s="1436">
        <f>481+181.096</f>
        <v>662.096</v>
      </c>
      <c r="H40" s="403"/>
      <c r="I40" s="403"/>
      <c r="J40" s="403"/>
      <c r="K40" s="403"/>
    </row>
    <row r="41" spans="1:12" s="280" customFormat="1" ht="63.75">
      <c r="A41" s="4" t="s">
        <v>1493</v>
      </c>
      <c r="B41" s="1438">
        <f>F52</f>
        <v>22653.682999999997</v>
      </c>
      <c r="C41" s="1"/>
      <c r="D41" s="1"/>
      <c r="E41" s="1"/>
      <c r="F41" s="1436">
        <f>2109.577</f>
        <v>2109.5770000000002</v>
      </c>
      <c r="G41" s="1436">
        <f>387+154.454</f>
        <v>541.45399999999995</v>
      </c>
    </row>
    <row r="42" spans="1:12" s="280" customFormat="1" ht="51">
      <c r="A42" s="4" t="s">
        <v>1494</v>
      </c>
      <c r="B42" s="1423">
        <f>G52</f>
        <v>6474.5969999999998</v>
      </c>
      <c r="C42" s="1"/>
      <c r="D42" s="1"/>
      <c r="E42" s="1"/>
      <c r="F42" s="1436">
        <f>1925.347</f>
        <v>1925.347</v>
      </c>
      <c r="G42" s="1436">
        <f>408+395.015</f>
        <v>803.01499999999999</v>
      </c>
    </row>
    <row r="43" spans="1:12" s="280" customFormat="1" ht="38.25">
      <c r="A43" s="4" t="s">
        <v>1495</v>
      </c>
      <c r="B43" s="1424">
        <f>'Свод долгосрочный '!I124</f>
        <v>0.16769751859215085</v>
      </c>
      <c r="C43" s="1"/>
      <c r="D43" s="1"/>
      <c r="E43" s="1"/>
      <c r="F43" s="1436">
        <f>1889.382</f>
        <v>1889.3820000000001</v>
      </c>
      <c r="G43" s="1436">
        <f>357+43.163</f>
        <v>400.16300000000001</v>
      </c>
    </row>
    <row r="44" spans="1:12" s="280" customFormat="1" ht="76.5">
      <c r="A44" s="4" t="s">
        <v>1496</v>
      </c>
      <c r="B44" s="1425">
        <f>'Свод долгосрочный '!I132</f>
        <v>3062.2492415856818</v>
      </c>
      <c r="C44" s="1"/>
      <c r="D44" s="1"/>
      <c r="E44" s="1"/>
      <c r="F44" s="1436">
        <f>1724.599</f>
        <v>1724.5989999999999</v>
      </c>
      <c r="G44" s="1436">
        <f>331.782</f>
        <v>331.78199999999998</v>
      </c>
    </row>
    <row r="45" spans="1:12" s="280" customFormat="1" ht="38.25">
      <c r="A45" s="4" t="s">
        <v>1497</v>
      </c>
      <c r="B45" s="1426">
        <f>C64/B64*1000</f>
        <v>3411.5783268055138</v>
      </c>
      <c r="C45" s="1"/>
      <c r="D45" s="1"/>
      <c r="E45" s="1"/>
      <c r="F45" s="1436">
        <f>1690.873</f>
        <v>1690.873</v>
      </c>
      <c r="G45" s="1436">
        <f>193.808</f>
        <v>193.80799999999999</v>
      </c>
    </row>
    <row r="46" spans="1:12" s="280" customFormat="1" ht="126">
      <c r="A46" s="1427" t="s">
        <v>1498</v>
      </c>
      <c r="B46" s="1428">
        <f>(MIN(B42,B40*B43)*B45-B40*B44*B43)/1000</f>
        <v>1706.3818524510582</v>
      </c>
      <c r="C46" s="1"/>
      <c r="D46" s="1"/>
      <c r="E46" s="1"/>
      <c r="F46" s="1436">
        <f>1681.758</f>
        <v>1681.758</v>
      </c>
      <c r="G46" s="1436">
        <f>333+138.711</f>
        <v>471.71100000000001</v>
      </c>
    </row>
    <row r="47" spans="1:12" s="280" customFormat="1" ht="39">
      <c r="A47" s="265" t="s">
        <v>1499</v>
      </c>
      <c r="B47" s="1429">
        <f>MAX(0,B43*B40-B42)*B45/1000</f>
        <v>0</v>
      </c>
      <c r="C47" s="1"/>
      <c r="D47" s="1"/>
      <c r="E47" s="1"/>
      <c r="F47" s="1436">
        <f>1746.773</f>
        <v>1746.7729999999999</v>
      </c>
      <c r="G47" s="1436">
        <f>338+215.014</f>
        <v>553.01400000000001</v>
      </c>
    </row>
    <row r="48" spans="1:12" s="280" customFormat="1">
      <c r="A48" s="1"/>
      <c r="B48" s="1"/>
      <c r="C48" s="1"/>
      <c r="D48" s="1"/>
      <c r="E48" s="1"/>
      <c r="F48" s="1436">
        <f>1802.146</f>
        <v>1802.146</v>
      </c>
      <c r="G48" s="1436">
        <f>337+57.177</f>
        <v>394.17700000000002</v>
      </c>
    </row>
    <row r="49" spans="1:9" s="280" customFormat="1">
      <c r="A49" s="1"/>
      <c r="B49" s="1"/>
      <c r="C49" s="1"/>
      <c r="D49" s="1"/>
      <c r="E49" s="1"/>
      <c r="F49" s="1436">
        <f>1952.412</f>
        <v>1952.412</v>
      </c>
      <c r="G49" s="1436">
        <f>383+150.183</f>
        <v>533.18299999999999</v>
      </c>
    </row>
    <row r="50" spans="1:9" s="280" customFormat="1" ht="25.5">
      <c r="A50" s="1430"/>
      <c r="B50" s="1430" t="s">
        <v>1500</v>
      </c>
      <c r="C50" s="1430" t="s">
        <v>1501</v>
      </c>
      <c r="D50" s="1"/>
      <c r="E50" s="1"/>
      <c r="F50" s="1436">
        <f>1972.478</f>
        <v>1972.4780000000001</v>
      </c>
      <c r="G50" s="1436">
        <f>424+279.495</f>
        <v>703.495</v>
      </c>
    </row>
    <row r="51" spans="1:9" s="280" customFormat="1">
      <c r="A51" s="1431" t="s">
        <v>267</v>
      </c>
      <c r="B51" s="1431" t="s">
        <v>1502</v>
      </c>
      <c r="C51" s="1431" t="s">
        <v>1503</v>
      </c>
      <c r="D51" s="1"/>
      <c r="E51" s="1"/>
      <c r="F51" s="1436">
        <f>1863.295</f>
        <v>1863.2950000000001</v>
      </c>
      <c r="G51" s="1436">
        <f>443+443.699</f>
        <v>886.69900000000007</v>
      </c>
    </row>
    <row r="52" spans="1:9" s="280" customFormat="1">
      <c r="A52" s="1432" t="s">
        <v>614</v>
      </c>
      <c r="B52" s="1080">
        <f>(481000+181096)</f>
        <v>662096</v>
      </c>
      <c r="C52" s="1080">
        <f>2060086.72</f>
        <v>2060086.72</v>
      </c>
      <c r="D52" s="1"/>
      <c r="E52" s="1"/>
      <c r="F52" s="1437">
        <f>SUM(F40:F51)</f>
        <v>22653.682999999997</v>
      </c>
      <c r="G52" s="1437">
        <f>SUM(G40:G51)</f>
        <v>6474.5969999999998</v>
      </c>
      <c r="I52" s="1437">
        <f>F52+G52</f>
        <v>29128.28</v>
      </c>
    </row>
    <row r="53" spans="1:9" s="280" customFormat="1">
      <c r="A53" s="1432" t="s">
        <v>615</v>
      </c>
      <c r="B53" s="1080">
        <f>(387000+154454)</f>
        <v>541454</v>
      </c>
      <c r="C53" s="1080">
        <f>1825920.05</f>
        <v>1825920.05</v>
      </c>
      <c r="D53" s="1"/>
      <c r="E53" s="1"/>
    </row>
    <row r="54" spans="1:9" s="280" customFormat="1">
      <c r="A54" s="1432" t="s">
        <v>616</v>
      </c>
      <c r="B54" s="1080">
        <f>(408000+395015)</f>
        <v>803015</v>
      </c>
      <c r="C54" s="1080">
        <f>2621958.21</f>
        <v>2621958.21</v>
      </c>
      <c r="D54" s="1"/>
      <c r="E54" s="1"/>
    </row>
    <row r="55" spans="1:9" s="280" customFormat="1">
      <c r="A55" s="1432" t="s">
        <v>617</v>
      </c>
      <c r="B55" s="1080">
        <f>(357000+43163)</f>
        <v>400163</v>
      </c>
      <c r="C55" s="1080">
        <f>1390950.47</f>
        <v>1390950.47</v>
      </c>
      <c r="D55" s="1"/>
      <c r="E55" s="1"/>
    </row>
    <row r="56" spans="1:9" s="280" customFormat="1">
      <c r="A56" s="1432" t="s">
        <v>618</v>
      </c>
      <c r="B56" s="1080">
        <f>331782</f>
        <v>331782</v>
      </c>
      <c r="C56" s="1080">
        <f>1022375.62</f>
        <v>1022375.62</v>
      </c>
      <c r="D56" s="1"/>
      <c r="E56" s="1"/>
    </row>
    <row r="57" spans="1:9" s="280" customFormat="1">
      <c r="A57" s="1432" t="s">
        <v>619</v>
      </c>
      <c r="B57" s="1080">
        <f>193808</f>
        <v>193808</v>
      </c>
      <c r="C57" s="1080">
        <f>622126.01</f>
        <v>622126.01</v>
      </c>
      <c r="D57" s="1"/>
      <c r="E57" s="1"/>
    </row>
    <row r="58" spans="1:9" s="280" customFormat="1">
      <c r="A58" s="1432" t="s">
        <v>620</v>
      </c>
      <c r="B58" s="1080">
        <f>(333000+138711)</f>
        <v>471711</v>
      </c>
      <c r="C58" s="1080">
        <f>1627809.52</f>
        <v>1627809.52</v>
      </c>
      <c r="D58" s="1"/>
      <c r="E58" s="1"/>
    </row>
    <row r="59" spans="1:9" s="280" customFormat="1">
      <c r="A59" s="1432" t="s">
        <v>621</v>
      </c>
      <c r="B59" s="1080">
        <f>(338000+215014)</f>
        <v>553014</v>
      </c>
      <c r="C59" s="1080">
        <f>1981764.87</f>
        <v>1981764.87</v>
      </c>
      <c r="D59" s="1"/>
      <c r="E59" s="1"/>
    </row>
    <row r="60" spans="1:9" s="280" customFormat="1">
      <c r="A60" s="1432" t="s">
        <v>622</v>
      </c>
      <c r="B60" s="1080">
        <f>(337000+57177)</f>
        <v>394177</v>
      </c>
      <c r="C60" s="1080">
        <f>1499474.37</f>
        <v>1499474.37</v>
      </c>
      <c r="D60" s="1"/>
      <c r="E60" s="1"/>
    </row>
    <row r="61" spans="1:9" s="280" customFormat="1">
      <c r="A61" s="1432" t="s">
        <v>623</v>
      </c>
      <c r="B61" s="1080">
        <f>(383000+150183)</f>
        <v>533183</v>
      </c>
      <c r="C61" s="1080">
        <f>1946864.62</f>
        <v>1946864.62</v>
      </c>
      <c r="D61" s="1"/>
      <c r="E61" s="1"/>
    </row>
    <row r="62" spans="1:9" s="280" customFormat="1">
      <c r="A62" s="1432" t="s">
        <v>624</v>
      </c>
      <c r="B62" s="1080">
        <f>(424000+279495)</f>
        <v>703495</v>
      </c>
      <c r="C62" s="1080">
        <f>2390454.13</f>
        <v>2390454.13</v>
      </c>
      <c r="D62" s="1"/>
      <c r="E62" s="1"/>
    </row>
    <row r="63" spans="1:9" s="280" customFormat="1">
      <c r="A63" s="1432" t="s">
        <v>625</v>
      </c>
      <c r="B63" s="1080">
        <f>(443000+443699)</f>
        <v>886699</v>
      </c>
      <c r="C63" s="1080">
        <f>3098810.21</f>
        <v>3098810.21</v>
      </c>
      <c r="D63" s="1"/>
      <c r="E63" s="1"/>
    </row>
    <row r="64" spans="1:9" s="280" customFormat="1">
      <c r="A64" s="1433" t="s">
        <v>626</v>
      </c>
      <c r="B64" s="436">
        <f>SUM(B52:B63)/1000</f>
        <v>6474.5969999999998</v>
      </c>
      <c r="C64" s="436">
        <f>SUM(C52:C63)/1000</f>
        <v>22088.594799999999</v>
      </c>
      <c r="D64" s="1">
        <f>C64/B64</f>
        <v>3.4115783268055138</v>
      </c>
      <c r="E64" s="1"/>
    </row>
    <row r="65" spans="1:5" s="280" customFormat="1">
      <c r="A65" s="1" t="s">
        <v>1504</v>
      </c>
      <c r="B65" s="1"/>
      <c r="C65" s="1"/>
      <c r="D65" s="1"/>
      <c r="E65" s="1"/>
    </row>
    <row r="66" spans="1:5" s="280" customFormat="1">
      <c r="A66" s="1"/>
      <c r="B66" s="1"/>
      <c r="C66" s="1"/>
      <c r="D66" s="1"/>
      <c r="E66" s="1"/>
    </row>
    <row r="67" spans="1:5" s="280" customFormat="1"/>
    <row r="68" spans="1:5" s="280" customFormat="1"/>
    <row r="69" spans="1:5" s="280" customFormat="1"/>
    <row r="70" spans="1:5" s="280" customFormat="1"/>
    <row r="71" spans="1:5" s="280" customFormat="1"/>
    <row r="72" spans="1:5" s="280" customFormat="1"/>
    <row r="73" spans="1:5" s="280" customFormat="1"/>
    <row r="74" spans="1:5" s="280" customFormat="1"/>
    <row r="75" spans="1:5" s="280" customFormat="1"/>
    <row r="76" spans="1:5" s="280" customFormat="1"/>
    <row r="77" spans="1:5" s="280" customFormat="1"/>
    <row r="78" spans="1:5" s="280" customFormat="1"/>
    <row r="79" spans="1:5" s="280" customFormat="1"/>
    <row r="80" spans="1:5" s="280" customFormat="1"/>
    <row r="81" s="280" customFormat="1"/>
    <row r="82" s="280" customFormat="1"/>
    <row r="83" s="280" customFormat="1"/>
    <row r="84" s="280" customFormat="1"/>
    <row r="85" s="280" customFormat="1"/>
    <row r="86" s="280" customFormat="1"/>
    <row r="87" s="280" customFormat="1"/>
    <row r="88" s="280" customFormat="1"/>
    <row r="89" s="280" customFormat="1"/>
    <row r="90" s="280" customFormat="1"/>
    <row r="91" s="280" customFormat="1"/>
    <row r="92" s="280" customFormat="1"/>
    <row r="93" s="280" customFormat="1"/>
    <row r="94" s="280" customFormat="1"/>
  </sheetData>
  <mergeCells count="8">
    <mergeCell ref="I34:J34"/>
    <mergeCell ref="K34:L34"/>
    <mergeCell ref="A1:H1"/>
    <mergeCell ref="A2:A3"/>
    <mergeCell ref="B2:C2"/>
    <mergeCell ref="D2:D3"/>
    <mergeCell ref="E2:F2"/>
    <mergeCell ref="G2:H2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12">
    <tabColor rgb="FF00B0F0"/>
  </sheetPr>
  <dimension ref="A2:F12"/>
  <sheetViews>
    <sheetView topLeftCell="A4" workbookViewId="0"/>
  </sheetViews>
  <sheetFormatPr defaultRowHeight="12.75" outlineLevelCol="1"/>
  <cols>
    <col min="1" max="1" width="8" customWidth="1"/>
    <col min="2" max="2" width="48.7109375" customWidth="1"/>
    <col min="3" max="3" width="12" customWidth="1"/>
    <col min="4" max="4" width="13.5703125" customWidth="1"/>
    <col min="5" max="5" width="13.85546875" customWidth="1" outlineLevel="1"/>
    <col min="6" max="6" width="9" customWidth="1"/>
  </cols>
  <sheetData>
    <row r="2" spans="1:6" ht="39" customHeight="1">
      <c r="A2" s="1648" t="s">
        <v>949</v>
      </c>
      <c r="B2" s="1648"/>
      <c r="C2" s="1648"/>
      <c r="D2" s="1648"/>
      <c r="E2" s="1648"/>
    </row>
    <row r="3" spans="1:6" ht="18.75">
      <c r="A3" s="286"/>
      <c r="B3" s="286"/>
      <c r="C3" s="286"/>
      <c r="D3" s="286"/>
    </row>
    <row r="4" spans="1:6" s="280" customFormat="1" ht="46.5" customHeight="1">
      <c r="A4" s="328" t="s">
        <v>241</v>
      </c>
      <c r="B4" s="328" t="s">
        <v>560</v>
      </c>
      <c r="C4" s="328" t="s">
        <v>564</v>
      </c>
      <c r="D4" s="328" t="s">
        <v>513</v>
      </c>
      <c r="E4" s="328" t="s">
        <v>514</v>
      </c>
    </row>
    <row r="5" spans="1:6" s="400" customFormat="1" ht="12" customHeight="1">
      <c r="A5" s="423">
        <v>1</v>
      </c>
      <c r="B5" s="423">
        <v>2</v>
      </c>
      <c r="C5" s="423">
        <v>3</v>
      </c>
      <c r="D5" s="424">
        <v>4</v>
      </c>
      <c r="E5" s="425">
        <v>5</v>
      </c>
    </row>
    <row r="6" spans="1:6" s="400" customFormat="1" ht="50.25" customHeight="1">
      <c r="A6" s="329" t="s">
        <v>247</v>
      </c>
      <c r="B6" s="426" t="s">
        <v>565</v>
      </c>
      <c r="C6" s="426"/>
      <c r="D6" s="406">
        <f>D7+D8</f>
        <v>0</v>
      </c>
      <c r="E6" s="407">
        <f>E7+E8</f>
        <v>0</v>
      </c>
    </row>
    <row r="7" spans="1:6" s="280" customFormat="1" ht="18.75" customHeight="1">
      <c r="A7" s="409"/>
      <c r="B7" s="426" t="s">
        <v>566</v>
      </c>
      <c r="C7" s="426"/>
      <c r="D7" s="405"/>
      <c r="E7" s="428"/>
    </row>
    <row r="8" spans="1:6" s="280" customFormat="1" ht="15.75" customHeight="1">
      <c r="A8" s="409"/>
      <c r="B8" s="426" t="s">
        <v>567</v>
      </c>
      <c r="C8" s="426"/>
      <c r="D8" s="405"/>
      <c r="E8" s="405"/>
    </row>
    <row r="9" spans="1:6" s="280" customFormat="1" ht="72" customHeight="1">
      <c r="A9" s="409" t="s">
        <v>243</v>
      </c>
      <c r="B9" s="426" t="s">
        <v>568</v>
      </c>
      <c r="C9" s="426"/>
      <c r="D9" s="428"/>
      <c r="E9" s="428"/>
    </row>
    <row r="10" spans="1:6" s="280" customFormat="1" ht="29.25" customHeight="1">
      <c r="A10" s="409" t="s">
        <v>248</v>
      </c>
      <c r="B10" s="426" t="s">
        <v>569</v>
      </c>
      <c r="C10" s="426"/>
      <c r="D10" s="405"/>
      <c r="E10" s="428"/>
      <c r="F10" s="280" t="s">
        <v>789</v>
      </c>
    </row>
    <row r="11" spans="1:6" s="280" customFormat="1" ht="93" customHeight="1">
      <c r="A11" s="409" t="s">
        <v>250</v>
      </c>
      <c r="B11" s="427" t="s">
        <v>570</v>
      </c>
      <c r="C11" s="426"/>
      <c r="D11" s="428"/>
      <c r="E11" s="428"/>
    </row>
    <row r="12" spans="1:6" s="280" customFormat="1" ht="21.75" customHeight="1">
      <c r="A12" s="409"/>
      <c r="B12" s="410" t="s">
        <v>563</v>
      </c>
      <c r="C12" s="410"/>
      <c r="D12" s="411">
        <f>IF(D9=0,0,D6*(D10/D9-1)-D11)</f>
        <v>0</v>
      </c>
      <c r="E12" s="411">
        <f>IF(E9=0,0,E6*(E10/E9-1)-E11)</f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7">
    <tabColor rgb="FF00B0F0"/>
  </sheetPr>
  <dimension ref="A1:S21"/>
  <sheetViews>
    <sheetView workbookViewId="0">
      <selection activeCell="A2" sqref="A2"/>
    </sheetView>
  </sheetViews>
  <sheetFormatPr defaultRowHeight="12.75"/>
  <cols>
    <col min="2" max="2" width="39.42578125" customWidth="1"/>
    <col min="3" max="4" width="13.5703125" customWidth="1"/>
    <col min="5" max="6" width="12.85546875" customWidth="1"/>
    <col min="7" max="7" width="12.7109375" customWidth="1"/>
    <col min="8" max="8" width="13.28515625" customWidth="1"/>
  </cols>
  <sheetData>
    <row r="1" spans="1:8" ht="44.25" customHeight="1">
      <c r="A1" s="1648" t="s">
        <v>1490</v>
      </c>
      <c r="B1" s="1648"/>
      <c r="C1" s="1648"/>
      <c r="D1" s="1648"/>
      <c r="E1" s="1648"/>
      <c r="F1" s="1648"/>
      <c r="G1" s="1648"/>
    </row>
    <row r="2" spans="1:8" ht="39" customHeight="1">
      <c r="A2" s="328" t="s">
        <v>241</v>
      </c>
      <c r="B2" s="328" t="s">
        <v>560</v>
      </c>
      <c r="C2" s="328" t="s">
        <v>596</v>
      </c>
      <c r="D2" s="328" t="s">
        <v>513</v>
      </c>
      <c r="E2" s="328" t="s">
        <v>514</v>
      </c>
      <c r="F2" s="396"/>
      <c r="G2" s="396"/>
      <c r="H2" s="396"/>
    </row>
    <row r="3" spans="1:8">
      <c r="A3" s="329">
        <v>1</v>
      </c>
      <c r="B3" s="329">
        <v>2</v>
      </c>
      <c r="C3" s="329">
        <v>3</v>
      </c>
      <c r="D3" s="329">
        <v>4</v>
      </c>
      <c r="E3" s="330">
        <v>5</v>
      </c>
      <c r="F3" s="397"/>
      <c r="G3" s="398"/>
      <c r="H3" s="399"/>
    </row>
    <row r="4" spans="1:8" ht="25.5">
      <c r="A4" s="329" t="s">
        <v>247</v>
      </c>
      <c r="B4" s="426" t="s">
        <v>597</v>
      </c>
      <c r="C4" s="26"/>
      <c r="D4" s="437">
        <f>(IF(AND(65&lt;F17,F17&lt;135),0,IF(F17&gt;=135,-1,IF(F17&lt;=65,1))))</f>
        <v>1</v>
      </c>
      <c r="E4" s="437">
        <v>-1</v>
      </c>
    </row>
    <row r="5" spans="1:8" ht="38.25" customHeight="1">
      <c r="A5" s="409" t="s">
        <v>243</v>
      </c>
      <c r="B5" s="426" t="s">
        <v>598</v>
      </c>
      <c r="C5" s="438"/>
      <c r="D5" s="437">
        <f>(IF(AND(65&lt;F18,F18&lt;135),0,IF(F18&gt;=135,-1,IF(F18&lt;=65,1))))</f>
        <v>1</v>
      </c>
      <c r="E5" s="437">
        <v>0</v>
      </c>
    </row>
    <row r="6" spans="1:8" ht="38.25" customHeight="1">
      <c r="A6" s="409" t="s">
        <v>248</v>
      </c>
      <c r="B6" s="426" t="s">
        <v>599</v>
      </c>
      <c r="C6" s="26" t="s">
        <v>600</v>
      </c>
      <c r="D6" s="437">
        <f>D4*0.65+D5*0.35</f>
        <v>1</v>
      </c>
      <c r="E6" s="437">
        <f>E4*0.65+E5*0.35</f>
        <v>-0.65</v>
      </c>
    </row>
    <row r="7" spans="1:8" ht="21" customHeight="1">
      <c r="A7" s="439" t="s">
        <v>250</v>
      </c>
      <c r="B7" s="440" t="s">
        <v>601</v>
      </c>
      <c r="C7" s="26"/>
      <c r="D7" s="441">
        <v>0.02</v>
      </c>
      <c r="E7" s="441">
        <v>0.02</v>
      </c>
    </row>
    <row r="8" spans="1:8" ht="38.25">
      <c r="A8" s="439" t="s">
        <v>251</v>
      </c>
      <c r="B8" s="440" t="s">
        <v>602</v>
      </c>
      <c r="C8" s="26"/>
      <c r="D8" s="437">
        <f>D6*D7</f>
        <v>0.02</v>
      </c>
      <c r="E8" s="437">
        <f>E6*E7</f>
        <v>-1.3000000000000001E-2</v>
      </c>
    </row>
    <row r="9" spans="1:8" ht="25.5">
      <c r="A9" s="439" t="s">
        <v>252</v>
      </c>
      <c r="B9" s="440" t="s">
        <v>603</v>
      </c>
      <c r="C9" s="26"/>
      <c r="D9" s="442">
        <v>44150.151366945895</v>
      </c>
      <c r="E9" s="442">
        <f>'Свод долгосрочный '!I78</f>
        <v>30457.586217212443</v>
      </c>
    </row>
    <row r="10" spans="1:8" ht="25.5">
      <c r="A10" s="443" t="s">
        <v>253</v>
      </c>
      <c r="B10" s="444" t="s">
        <v>604</v>
      </c>
      <c r="C10" s="285"/>
      <c r="D10" s="445">
        <f>D8*D9</f>
        <v>883.00302733891795</v>
      </c>
      <c r="E10" s="445">
        <f>E8*E9</f>
        <v>-395.94862082376181</v>
      </c>
    </row>
    <row r="12" spans="1:8" ht="18.75">
      <c r="A12" s="1648" t="s">
        <v>571</v>
      </c>
      <c r="B12" s="1648"/>
      <c r="C12" s="1648"/>
      <c r="D12" s="1648"/>
      <c r="E12" s="1648"/>
      <c r="F12" s="1648"/>
      <c r="G12" s="1648"/>
      <c r="H12" s="295"/>
    </row>
    <row r="14" spans="1:8">
      <c r="A14" s="1643" t="s">
        <v>241</v>
      </c>
      <c r="B14" s="1643" t="s">
        <v>560</v>
      </c>
      <c r="C14" s="1643" t="s">
        <v>572</v>
      </c>
      <c r="D14" s="1643" t="s">
        <v>950</v>
      </c>
      <c r="E14" s="1644" t="s">
        <v>513</v>
      </c>
      <c r="F14" s="1644"/>
      <c r="G14" s="1644" t="s">
        <v>514</v>
      </c>
      <c r="H14" s="1644"/>
    </row>
    <row r="15" spans="1:8" ht="25.5">
      <c r="A15" s="1643"/>
      <c r="B15" s="1643"/>
      <c r="C15" s="1643"/>
      <c r="D15" s="1643"/>
      <c r="E15" s="328" t="s">
        <v>511</v>
      </c>
      <c r="F15" s="328" t="s">
        <v>573</v>
      </c>
      <c r="G15" s="328" t="s">
        <v>511</v>
      </c>
      <c r="H15" s="328" t="s">
        <v>573</v>
      </c>
    </row>
    <row r="16" spans="1:8">
      <c r="A16" s="329">
        <v>1</v>
      </c>
      <c r="B16" s="329">
        <v>2</v>
      </c>
      <c r="C16" s="329">
        <v>3</v>
      </c>
      <c r="D16" s="329">
        <v>4</v>
      </c>
      <c r="E16" s="330">
        <v>5</v>
      </c>
      <c r="F16" s="330">
        <v>6</v>
      </c>
      <c r="G16" s="404">
        <v>7</v>
      </c>
      <c r="H16" s="24">
        <v>8</v>
      </c>
    </row>
    <row r="17" spans="1:19" ht="38.25">
      <c r="A17" s="329" t="s">
        <v>247</v>
      </c>
      <c r="B17" s="426" t="s">
        <v>574</v>
      </c>
      <c r="C17" s="446" t="s">
        <v>349</v>
      </c>
      <c r="D17" s="447">
        <v>7.3000000000000001E-3</v>
      </c>
      <c r="E17" s="447">
        <v>1.4052361126695329E-2</v>
      </c>
      <c r="F17" s="448">
        <f>(E17-D17)/D17</f>
        <v>0.92498097625963405</v>
      </c>
      <c r="G17" s="447">
        <v>1.41E-2</v>
      </c>
      <c r="H17" s="449"/>
    </row>
    <row r="18" spans="1:19" ht="25.5">
      <c r="A18" s="409" t="s">
        <v>243</v>
      </c>
      <c r="B18" s="426" t="s">
        <v>575</v>
      </c>
      <c r="C18" s="426"/>
      <c r="D18" s="450">
        <v>0.89749999999999996</v>
      </c>
      <c r="E18" s="450">
        <v>1.0129761904761905</v>
      </c>
      <c r="F18" s="448">
        <f>(E18-D18)/D18</f>
        <v>0.12866427908210643</v>
      </c>
      <c r="G18" s="447">
        <v>0.85960000000000003</v>
      </c>
      <c r="H18" s="449"/>
    </row>
    <row r="20" spans="1:19">
      <c r="D20" s="1156"/>
      <c r="E20" s="1157"/>
      <c r="F20" s="1157"/>
      <c r="G20" s="1157"/>
      <c r="H20" s="1157"/>
      <c r="I20" s="1157"/>
      <c r="J20" s="1157"/>
      <c r="K20" s="1157"/>
      <c r="L20" s="1157"/>
      <c r="M20" s="1157"/>
      <c r="N20" s="1157"/>
      <c r="O20" s="1157"/>
      <c r="P20" s="1157"/>
      <c r="Q20" s="1157"/>
      <c r="R20" s="1157"/>
      <c r="S20" s="1157"/>
    </row>
    <row r="21" spans="1:19">
      <c r="D21" s="1156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57"/>
    </row>
  </sheetData>
  <mergeCells count="8">
    <mergeCell ref="A1:G1"/>
    <mergeCell ref="A12:G12"/>
    <mergeCell ref="A14:A15"/>
    <mergeCell ref="B14:B15"/>
    <mergeCell ref="C14:C15"/>
    <mergeCell ref="D14:D15"/>
    <mergeCell ref="E14:F14"/>
    <mergeCell ref="G14:H14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L23"/>
  <sheetViews>
    <sheetView workbookViewId="0"/>
  </sheetViews>
  <sheetFormatPr defaultRowHeight="12.75"/>
  <cols>
    <col min="3" max="3" width="79.28515625" customWidth="1"/>
    <col min="4" max="4" width="24.85546875" customWidth="1"/>
    <col min="5" max="5" width="23.28515625" customWidth="1"/>
    <col min="6" max="6" width="22.28515625" customWidth="1"/>
    <col min="7" max="7" width="24" customWidth="1"/>
    <col min="8" max="8" width="21" customWidth="1"/>
    <col min="9" max="9" width="24.42578125" customWidth="1"/>
    <col min="10" max="10" width="15.7109375" customWidth="1"/>
    <col min="11" max="11" width="16.5703125" customWidth="1"/>
    <col min="12" max="12" width="21.5703125" customWidth="1"/>
  </cols>
  <sheetData>
    <row r="2" spans="1:12" ht="15.75">
      <c r="B2" s="1649" t="s">
        <v>952</v>
      </c>
      <c r="C2" s="1649"/>
      <c r="D2" s="1649"/>
      <c r="E2" s="1649"/>
      <c r="F2" s="1649"/>
      <c r="G2" s="1649"/>
      <c r="H2" s="1649"/>
      <c r="I2" s="1649"/>
      <c r="J2" s="1649"/>
      <c r="K2" s="1649"/>
      <c r="L2" s="1649"/>
    </row>
    <row r="4" spans="1:12" ht="57.75" customHeight="1">
      <c r="A4" s="247"/>
      <c r="B4" s="1650" t="s">
        <v>953</v>
      </c>
      <c r="C4" s="1650" t="s">
        <v>266</v>
      </c>
      <c r="D4" s="1650" t="s">
        <v>978</v>
      </c>
      <c r="E4" s="1650"/>
      <c r="F4" s="1650"/>
      <c r="G4" s="1650" t="s">
        <v>979</v>
      </c>
      <c r="H4" s="1650"/>
      <c r="I4" s="1650"/>
      <c r="J4" s="1650" t="s">
        <v>980</v>
      </c>
      <c r="K4" s="1650"/>
      <c r="L4" s="1650"/>
    </row>
    <row r="5" spans="1:12">
      <c r="A5" s="247"/>
      <c r="B5" s="1650"/>
      <c r="C5" s="1650"/>
      <c r="D5" s="247" t="s">
        <v>954</v>
      </c>
      <c r="E5" s="247" t="s">
        <v>955</v>
      </c>
      <c r="F5" s="247" t="s">
        <v>956</v>
      </c>
      <c r="G5" s="247" t="s">
        <v>957</v>
      </c>
      <c r="H5" s="247" t="s">
        <v>955</v>
      </c>
      <c r="I5" s="247" t="s">
        <v>958</v>
      </c>
      <c r="J5" s="247" t="s">
        <v>957</v>
      </c>
      <c r="K5" s="247" t="s">
        <v>955</v>
      </c>
      <c r="L5" s="247" t="s">
        <v>958</v>
      </c>
    </row>
    <row r="6" spans="1:12">
      <c r="A6" s="247"/>
      <c r="B6" s="247">
        <v>1</v>
      </c>
      <c r="C6" s="247">
        <v>2</v>
      </c>
      <c r="D6" s="247">
        <v>3</v>
      </c>
      <c r="E6" s="247">
        <v>4</v>
      </c>
      <c r="F6" s="247">
        <v>5</v>
      </c>
      <c r="G6" s="247">
        <v>6</v>
      </c>
      <c r="H6" s="247">
        <v>7</v>
      </c>
      <c r="I6" s="247">
        <v>8</v>
      </c>
      <c r="J6" s="247">
        <v>9</v>
      </c>
      <c r="K6" s="247">
        <v>10</v>
      </c>
      <c r="L6" s="247">
        <v>11</v>
      </c>
    </row>
    <row r="7" spans="1:12" ht="40.5" customHeight="1">
      <c r="A7" s="247"/>
      <c r="B7" s="247">
        <v>1</v>
      </c>
      <c r="C7" s="761" t="s">
        <v>959</v>
      </c>
      <c r="D7" s="247"/>
      <c r="E7" s="247"/>
      <c r="F7" s="247"/>
      <c r="G7" s="247">
        <f>G8+G9+G11</f>
        <v>0</v>
      </c>
      <c r="H7" s="247">
        <f>I22*7</f>
        <v>0</v>
      </c>
      <c r="I7" s="247">
        <f>G7*H7/1000</f>
        <v>0</v>
      </c>
      <c r="J7" s="247">
        <f>J8+J9+J11</f>
        <v>0</v>
      </c>
      <c r="K7" s="247">
        <f>L22*7</f>
        <v>0</v>
      </c>
      <c r="L7" s="247">
        <f>J7*K7/1000</f>
        <v>0</v>
      </c>
    </row>
    <row r="8" spans="1:12" ht="34.5" customHeight="1">
      <c r="A8" s="247"/>
      <c r="B8" s="247" t="s">
        <v>401</v>
      </c>
      <c r="C8" s="761" t="s">
        <v>960</v>
      </c>
      <c r="D8" s="247"/>
      <c r="E8" s="247"/>
      <c r="F8" s="247"/>
      <c r="G8" s="247"/>
      <c r="H8" s="247">
        <f>H7</f>
        <v>0</v>
      </c>
      <c r="I8" s="247">
        <f>G8*H8/1000</f>
        <v>0</v>
      </c>
      <c r="J8" s="247">
        <f>G8*1.04</f>
        <v>0</v>
      </c>
      <c r="K8" s="247">
        <f>K7</f>
        <v>0</v>
      </c>
      <c r="L8" s="247">
        <f>J8*K8/1000</f>
        <v>0</v>
      </c>
    </row>
    <row r="9" spans="1:12" ht="33" customHeight="1">
      <c r="A9" s="247"/>
      <c r="B9" s="247" t="s">
        <v>402</v>
      </c>
      <c r="C9" s="761" t="s">
        <v>961</v>
      </c>
      <c r="D9" s="247"/>
      <c r="E9" s="247"/>
      <c r="F9" s="247"/>
      <c r="G9" s="247"/>
      <c r="H9" s="247">
        <f>H8</f>
        <v>0</v>
      </c>
      <c r="I9" s="247">
        <f>G9*H9/1000</f>
        <v>0</v>
      </c>
      <c r="J9" s="247">
        <f>G9*1.04</f>
        <v>0</v>
      </c>
      <c r="K9" s="247">
        <f>K8</f>
        <v>0</v>
      </c>
      <c r="L9" s="247">
        <f>J9*K9/1000</f>
        <v>0</v>
      </c>
    </row>
    <row r="10" spans="1:12" ht="18" customHeight="1">
      <c r="A10" s="247"/>
      <c r="B10" s="247" t="s">
        <v>403</v>
      </c>
      <c r="C10" s="247" t="s">
        <v>962</v>
      </c>
      <c r="D10" s="247" t="s">
        <v>246</v>
      </c>
      <c r="E10" s="247" t="s">
        <v>246</v>
      </c>
      <c r="F10" s="247" t="s">
        <v>246</v>
      </c>
      <c r="G10" s="247" t="s">
        <v>246</v>
      </c>
      <c r="H10" s="247" t="s">
        <v>246</v>
      </c>
      <c r="I10" s="247" t="s">
        <v>246</v>
      </c>
      <c r="J10" s="247" t="s">
        <v>246</v>
      </c>
      <c r="K10" s="247" t="s">
        <v>246</v>
      </c>
      <c r="L10" s="247" t="s">
        <v>246</v>
      </c>
    </row>
    <row r="11" spans="1:12" ht="40.5" customHeight="1">
      <c r="A11" s="247"/>
      <c r="B11" s="247" t="s">
        <v>963</v>
      </c>
      <c r="C11" s="761" t="s">
        <v>964</v>
      </c>
      <c r="D11" s="247"/>
      <c r="E11" s="247"/>
      <c r="F11" s="247"/>
      <c r="G11" s="247"/>
      <c r="H11" s="247">
        <f>H9</f>
        <v>0</v>
      </c>
      <c r="I11" s="247">
        <f>G11*H11/1000</f>
        <v>0</v>
      </c>
      <c r="J11" s="247">
        <f>G11*1.04</f>
        <v>0</v>
      </c>
      <c r="K11" s="247">
        <f>K9</f>
        <v>0</v>
      </c>
      <c r="L11" s="247">
        <f>J11*K11/1000</f>
        <v>0</v>
      </c>
    </row>
    <row r="12" spans="1:12" ht="18" customHeight="1">
      <c r="A12" s="247"/>
      <c r="B12" s="247">
        <v>2</v>
      </c>
      <c r="C12" s="247" t="s">
        <v>965</v>
      </c>
      <c r="D12" s="247" t="s">
        <v>246</v>
      </c>
      <c r="E12" s="247" t="s">
        <v>246</v>
      </c>
      <c r="F12" s="247" t="s">
        <v>246</v>
      </c>
      <c r="G12" s="247" t="s">
        <v>246</v>
      </c>
      <c r="H12" s="247" t="s">
        <v>246</v>
      </c>
      <c r="I12" s="247" t="s">
        <v>246</v>
      </c>
      <c r="J12" s="247" t="s">
        <v>246</v>
      </c>
      <c r="K12" s="247" t="s">
        <v>246</v>
      </c>
      <c r="L12" s="247" t="s">
        <v>246</v>
      </c>
    </row>
    <row r="13" spans="1:12" ht="18" customHeight="1">
      <c r="A13" s="247"/>
      <c r="B13" s="247" t="s">
        <v>269</v>
      </c>
      <c r="C13" s="247" t="s">
        <v>966</v>
      </c>
      <c r="D13" s="247" t="s">
        <v>246</v>
      </c>
      <c r="E13" s="247" t="s">
        <v>246</v>
      </c>
      <c r="F13" s="247" t="s">
        <v>246</v>
      </c>
      <c r="G13" s="247" t="s">
        <v>246</v>
      </c>
      <c r="H13" s="247" t="s">
        <v>246</v>
      </c>
      <c r="I13" s="247" t="s">
        <v>246</v>
      </c>
      <c r="J13" s="247" t="s">
        <v>246</v>
      </c>
      <c r="K13" s="247" t="s">
        <v>246</v>
      </c>
      <c r="L13" s="247" t="s">
        <v>246</v>
      </c>
    </row>
    <row r="14" spans="1:12" ht="18" customHeight="1">
      <c r="A14" s="247"/>
      <c r="B14" s="247" t="s">
        <v>272</v>
      </c>
      <c r="C14" s="247" t="s">
        <v>967</v>
      </c>
      <c r="D14" s="247" t="s">
        <v>246</v>
      </c>
      <c r="E14" s="247" t="s">
        <v>246</v>
      </c>
      <c r="F14" s="247" t="s">
        <v>246</v>
      </c>
      <c r="G14" s="247" t="s">
        <v>246</v>
      </c>
      <c r="H14" s="247" t="s">
        <v>246</v>
      </c>
      <c r="I14" s="247" t="s">
        <v>246</v>
      </c>
      <c r="J14" s="247" t="s">
        <v>246</v>
      </c>
      <c r="K14" s="247" t="s">
        <v>246</v>
      </c>
      <c r="L14" s="247" t="s">
        <v>246</v>
      </c>
    </row>
    <row r="15" spans="1:12" ht="18" customHeight="1">
      <c r="A15" s="247"/>
      <c r="B15" s="1650" t="s">
        <v>968</v>
      </c>
      <c r="C15" s="1650" t="s">
        <v>969</v>
      </c>
      <c r="D15" s="1650" t="s">
        <v>246</v>
      </c>
      <c r="E15" s="1650" t="s">
        <v>246</v>
      </c>
      <c r="F15" s="1650" t="s">
        <v>246</v>
      </c>
      <c r="G15" s="1650" t="s">
        <v>246</v>
      </c>
      <c r="H15" s="1650" t="s">
        <v>246</v>
      </c>
      <c r="I15" s="1650" t="s">
        <v>246</v>
      </c>
      <c r="J15" s="1650" t="s">
        <v>246</v>
      </c>
      <c r="K15" s="1650" t="s">
        <v>246</v>
      </c>
      <c r="L15" s="1650" t="s">
        <v>246</v>
      </c>
    </row>
    <row r="16" spans="1:12" ht="18" customHeight="1">
      <c r="A16" s="247"/>
      <c r="B16" s="1650"/>
      <c r="C16" s="1650"/>
      <c r="D16" s="1650"/>
      <c r="E16" s="1650"/>
      <c r="F16" s="1650"/>
      <c r="G16" s="1650"/>
      <c r="H16" s="1650"/>
      <c r="I16" s="1650"/>
      <c r="J16" s="1650"/>
      <c r="K16" s="1650"/>
      <c r="L16" s="1650"/>
    </row>
    <row r="17" spans="1:12" ht="18" customHeight="1">
      <c r="A17" s="247"/>
      <c r="B17" s="1650" t="s">
        <v>970</v>
      </c>
      <c r="C17" s="1650" t="s">
        <v>971</v>
      </c>
      <c r="D17" s="1650" t="s">
        <v>246</v>
      </c>
      <c r="E17" s="1650" t="s">
        <v>246</v>
      </c>
      <c r="F17" s="1650" t="s">
        <v>246</v>
      </c>
      <c r="G17" s="1650" t="s">
        <v>246</v>
      </c>
      <c r="H17" s="1650" t="s">
        <v>246</v>
      </c>
      <c r="I17" s="1650" t="s">
        <v>246</v>
      </c>
      <c r="J17" s="1650" t="s">
        <v>246</v>
      </c>
      <c r="K17" s="1650" t="s">
        <v>246</v>
      </c>
      <c r="L17" s="1650" t="s">
        <v>246</v>
      </c>
    </row>
    <row r="18" spans="1:12" ht="18" customHeight="1">
      <c r="A18" s="247"/>
      <c r="B18" s="1650"/>
      <c r="C18" s="1650"/>
      <c r="D18" s="1650"/>
      <c r="E18" s="1650"/>
      <c r="F18" s="1650"/>
      <c r="G18" s="1650"/>
      <c r="H18" s="1650"/>
      <c r="I18" s="1650"/>
      <c r="J18" s="1650"/>
      <c r="K18" s="1650"/>
      <c r="L18" s="1650"/>
    </row>
    <row r="19" spans="1:12" ht="18" customHeight="1">
      <c r="A19" s="247"/>
      <c r="B19" s="247" t="s">
        <v>972</v>
      </c>
      <c r="C19" s="247" t="s">
        <v>973</v>
      </c>
      <c r="D19" s="247" t="s">
        <v>246</v>
      </c>
      <c r="E19" s="247" t="s">
        <v>246</v>
      </c>
      <c r="F19" s="247" t="s">
        <v>246</v>
      </c>
      <c r="G19" s="247" t="s">
        <v>246</v>
      </c>
      <c r="H19" s="247" t="s">
        <v>246</v>
      </c>
      <c r="I19" s="247" t="s">
        <v>246</v>
      </c>
      <c r="J19" s="247" t="s">
        <v>246</v>
      </c>
      <c r="K19" s="247" t="s">
        <v>246</v>
      </c>
      <c r="L19" s="247" t="s">
        <v>246</v>
      </c>
    </row>
    <row r="20" spans="1:12" ht="18" customHeight="1">
      <c r="A20" s="247"/>
      <c r="B20" s="247">
        <v>3</v>
      </c>
      <c r="C20" s="247" t="s">
        <v>974</v>
      </c>
      <c r="D20" s="247" t="s">
        <v>246</v>
      </c>
      <c r="E20" s="247" t="s">
        <v>246</v>
      </c>
      <c r="F20" s="247">
        <f>F21*F22/1000</f>
        <v>0</v>
      </c>
      <c r="G20" s="247" t="s">
        <v>246</v>
      </c>
      <c r="H20" s="247" t="s">
        <v>246</v>
      </c>
      <c r="I20" s="247">
        <f>I21*I22/1000</f>
        <v>0</v>
      </c>
      <c r="J20" s="247" t="s">
        <v>246</v>
      </c>
      <c r="K20" s="247" t="s">
        <v>246</v>
      </c>
      <c r="L20" s="247">
        <f>L21*L22/1000</f>
        <v>0</v>
      </c>
    </row>
    <row r="21" spans="1:12" ht="18" customHeight="1">
      <c r="A21" s="247"/>
      <c r="B21" s="247" t="s">
        <v>412</v>
      </c>
      <c r="C21" s="247" t="s">
        <v>975</v>
      </c>
      <c r="D21" s="247" t="s">
        <v>246</v>
      </c>
      <c r="E21" s="247" t="s">
        <v>246</v>
      </c>
      <c r="F21" s="247">
        <f>550/1.18</f>
        <v>466.10169491525426</v>
      </c>
      <c r="G21" s="247" t="s">
        <v>246</v>
      </c>
      <c r="H21" s="247" t="s">
        <v>246</v>
      </c>
      <c r="I21" s="247">
        <f>550/1.18</f>
        <v>466.10169491525426</v>
      </c>
      <c r="J21" s="247" t="s">
        <v>246</v>
      </c>
      <c r="K21" s="247" t="s">
        <v>246</v>
      </c>
      <c r="L21" s="247">
        <f>550/1.18</f>
        <v>466.10169491525426</v>
      </c>
    </row>
    <row r="22" spans="1:12" ht="18" customHeight="1" thickBot="1">
      <c r="A22" s="247"/>
      <c r="B22" s="247" t="s">
        <v>413</v>
      </c>
      <c r="C22" s="247" t="s">
        <v>976</v>
      </c>
      <c r="D22" s="247" t="s">
        <v>246</v>
      </c>
      <c r="E22" s="247" t="s">
        <v>246</v>
      </c>
      <c r="F22" s="247"/>
      <c r="G22" s="247" t="s">
        <v>246</v>
      </c>
      <c r="H22" s="247" t="s">
        <v>246</v>
      </c>
      <c r="I22" s="247"/>
      <c r="J22" s="247" t="s">
        <v>246</v>
      </c>
      <c r="K22" s="247" t="s">
        <v>246</v>
      </c>
      <c r="L22" s="247"/>
    </row>
    <row r="23" spans="1:12" ht="18" customHeight="1" thickBot="1">
      <c r="A23" s="247"/>
      <c r="B23" s="247">
        <v>4</v>
      </c>
      <c r="C23" s="247" t="s">
        <v>977</v>
      </c>
      <c r="D23" s="247" t="s">
        <v>246</v>
      </c>
      <c r="E23" s="247" t="s">
        <v>246</v>
      </c>
      <c r="F23" s="247">
        <f>F7-F20</f>
        <v>0</v>
      </c>
      <c r="G23" s="247" t="s">
        <v>246</v>
      </c>
      <c r="H23" s="247" t="s">
        <v>246</v>
      </c>
      <c r="I23" s="247">
        <f>I7-I20</f>
        <v>0</v>
      </c>
      <c r="J23" s="247" t="s">
        <v>246</v>
      </c>
      <c r="K23" s="247" t="s">
        <v>246</v>
      </c>
      <c r="L23" s="247">
        <f>L7-L20</f>
        <v>0</v>
      </c>
    </row>
  </sheetData>
  <mergeCells count="28">
    <mergeCell ref="L15:L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G15:G16"/>
    <mergeCell ref="H15:H16"/>
    <mergeCell ref="I15:I16"/>
    <mergeCell ref="J15:J16"/>
    <mergeCell ref="K15:K16"/>
    <mergeCell ref="B15:B16"/>
    <mergeCell ref="C15:C16"/>
    <mergeCell ref="D15:D16"/>
    <mergeCell ref="E15:E16"/>
    <mergeCell ref="F15:F16"/>
    <mergeCell ref="B2:L2"/>
    <mergeCell ref="B4:B5"/>
    <mergeCell ref="C4:C5"/>
    <mergeCell ref="D4:F4"/>
    <mergeCell ref="G4:I4"/>
    <mergeCell ref="J4:L4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28">
    <pageSetUpPr fitToPage="1"/>
  </sheetPr>
  <dimension ref="A1:M52"/>
  <sheetViews>
    <sheetView workbookViewId="0">
      <selection activeCell="E23" sqref="E23"/>
    </sheetView>
  </sheetViews>
  <sheetFormatPr defaultRowHeight="12.75"/>
  <cols>
    <col min="1" max="1" width="5.85546875" customWidth="1"/>
    <col min="2" max="2" width="41.140625" customWidth="1"/>
    <col min="3" max="3" width="13" customWidth="1"/>
    <col min="4" max="4" width="10" customWidth="1"/>
    <col min="5" max="5" width="9.28515625" customWidth="1"/>
    <col min="6" max="6" width="10.7109375" customWidth="1"/>
    <col min="7" max="8" width="11.28515625" customWidth="1"/>
    <col min="9" max="9" width="11.5703125" customWidth="1"/>
    <col min="10" max="10" width="10.5703125" customWidth="1"/>
    <col min="11" max="12" width="8.5703125" customWidth="1"/>
    <col min="13" max="13" width="9.140625" customWidth="1"/>
  </cols>
  <sheetData>
    <row r="1" spans="1:13" ht="18.75">
      <c r="A1" s="1651" t="s">
        <v>650</v>
      </c>
      <c r="B1" s="1651"/>
      <c r="C1" s="1651"/>
      <c r="D1" s="1651"/>
      <c r="E1" s="1651"/>
      <c r="F1" s="1651"/>
      <c r="G1" s="1651"/>
      <c r="H1" s="1651"/>
      <c r="I1" s="1651"/>
      <c r="J1" s="1651"/>
      <c r="K1" s="1651"/>
      <c r="L1" s="1651"/>
      <c r="M1" s="475">
        <v>2021</v>
      </c>
    </row>
    <row r="2" spans="1:13" ht="20.25">
      <c r="A2" s="1652"/>
      <c r="B2" s="1652"/>
      <c r="C2" s="1652"/>
      <c r="D2" s="1652"/>
      <c r="E2" s="1652"/>
      <c r="F2" s="1652"/>
      <c r="G2" s="1652"/>
      <c r="H2" s="1652"/>
      <c r="I2" s="1652"/>
      <c r="J2" s="1652"/>
      <c r="K2" s="1652"/>
      <c r="L2" s="1652"/>
      <c r="M2" s="476"/>
    </row>
    <row r="3" spans="1:13" ht="18.75">
      <c r="A3" s="477"/>
      <c r="B3" s="478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</row>
    <row r="4" spans="1:13" ht="18.75">
      <c r="A4" s="479"/>
      <c r="B4" s="480"/>
      <c r="C4" s="479"/>
      <c r="D4" s="1653" t="s">
        <v>511</v>
      </c>
      <c r="E4" s="1653"/>
      <c r="F4" s="1653" t="s">
        <v>609</v>
      </c>
      <c r="G4" s="1653"/>
      <c r="H4" s="1653" t="s">
        <v>651</v>
      </c>
      <c r="I4" s="1653"/>
      <c r="J4" s="1653"/>
      <c r="K4" s="1653" t="s">
        <v>652</v>
      </c>
      <c r="L4" s="1653"/>
      <c r="M4" s="1653"/>
    </row>
    <row r="5" spans="1:13">
      <c r="A5" s="481" t="s">
        <v>241</v>
      </c>
      <c r="B5" s="479" t="s">
        <v>653</v>
      </c>
      <c r="C5" s="437" t="s">
        <v>267</v>
      </c>
      <c r="D5" s="482">
        <f>M1-3</f>
        <v>2018</v>
      </c>
      <c r="E5" s="482">
        <f>G5-2</f>
        <v>2019</v>
      </c>
      <c r="F5" s="483">
        <f>G5-1</f>
        <v>2020</v>
      </c>
      <c r="G5" s="483">
        <f>M1</f>
        <v>2021</v>
      </c>
      <c r="H5" s="483">
        <f t="shared" ref="H5:M5" si="0">E5</f>
        <v>2019</v>
      </c>
      <c r="I5" s="483">
        <f t="shared" si="0"/>
        <v>2020</v>
      </c>
      <c r="J5" s="483">
        <f t="shared" si="0"/>
        <v>2021</v>
      </c>
      <c r="K5" s="483">
        <f t="shared" si="0"/>
        <v>2019</v>
      </c>
      <c r="L5" s="483">
        <f t="shared" si="0"/>
        <v>2020</v>
      </c>
      <c r="M5" s="483">
        <f t="shared" si="0"/>
        <v>2021</v>
      </c>
    </row>
    <row r="6" spans="1:13">
      <c r="A6" s="484"/>
      <c r="B6" s="485" t="s">
        <v>654</v>
      </c>
      <c r="C6" s="486"/>
      <c r="D6" s="486"/>
      <c r="E6" s="486"/>
      <c r="F6" s="437"/>
      <c r="G6" s="437"/>
      <c r="H6" s="437"/>
      <c r="I6" s="437"/>
      <c r="J6" s="437"/>
      <c r="K6" s="437"/>
      <c r="L6" s="437"/>
      <c r="M6" s="437"/>
    </row>
    <row r="7" spans="1:13">
      <c r="A7" s="484">
        <v>1</v>
      </c>
      <c r="B7" s="487" t="s">
        <v>655</v>
      </c>
      <c r="C7" s="484" t="s">
        <v>587</v>
      </c>
      <c r="D7" s="488">
        <f>D8+D14</f>
        <v>28.701000000000001</v>
      </c>
      <c r="E7" s="488">
        <f>E8+E14</f>
        <v>29.128</v>
      </c>
      <c r="F7" s="488">
        <f>F8+F14</f>
        <v>28.707000000000001</v>
      </c>
      <c r="G7" s="488">
        <f>G8+G14</f>
        <v>29.165999999999997</v>
      </c>
      <c r="H7" s="489">
        <f>E7-D7</f>
        <v>0.4269999999999996</v>
      </c>
      <c r="I7" s="489">
        <f>F7-E7</f>
        <v>-0.42099999999999937</v>
      </c>
      <c r="J7" s="489">
        <f>G7-F7</f>
        <v>0.45899999999999608</v>
      </c>
      <c r="K7" s="490">
        <f>IF(D7=0," ",E7/D7)</f>
        <v>1.0148775303996376</v>
      </c>
      <c r="L7" s="490">
        <f>IF(E7=0," ",F7/E7)</f>
        <v>0.98554655314474049</v>
      </c>
      <c r="M7" s="490">
        <f t="shared" ref="L7:M17" si="1">IF(F7=0," ",G7/F7)</f>
        <v>1.0159891315706968</v>
      </c>
    </row>
    <row r="8" spans="1:13">
      <c r="A8" s="491">
        <v>2</v>
      </c>
      <c r="B8" s="492" t="s">
        <v>656</v>
      </c>
      <c r="C8" s="491" t="s">
        <v>587</v>
      </c>
      <c r="D8" s="493">
        <f>'Свод долгосрочный '!E108/1000</f>
        <v>6.33</v>
      </c>
      <c r="E8" s="493">
        <f>'Свод долгосрочный '!H108/1000</f>
        <v>6.4740000000000002</v>
      </c>
      <c r="F8" s="493">
        <f>'Свод долгосрочный '!K108/1000</f>
        <v>5.64</v>
      </c>
      <c r="G8" s="493">
        <f>'Свод долгосрочный '!M108/1000</f>
        <v>5.7309999999999999</v>
      </c>
      <c r="H8" s="494">
        <f t="shared" ref="H8:J23" si="2">E8-D8</f>
        <v>0.14400000000000013</v>
      </c>
      <c r="I8" s="494">
        <f t="shared" si="2"/>
        <v>-0.83400000000000052</v>
      </c>
      <c r="J8" s="494">
        <f t="shared" si="2"/>
        <v>9.1000000000000192E-2</v>
      </c>
      <c r="K8" s="495">
        <f t="shared" ref="K8:K17" si="3">IF(D8=0," ",E8/D8)</f>
        <v>1.0227488151658768</v>
      </c>
      <c r="L8" s="495">
        <f t="shared" si="1"/>
        <v>0.87117701575532891</v>
      </c>
      <c r="M8" s="495">
        <f t="shared" si="1"/>
        <v>1.0161347517730497</v>
      </c>
    </row>
    <row r="9" spans="1:13">
      <c r="A9" s="491" t="s">
        <v>244</v>
      </c>
      <c r="B9" s="496" t="s">
        <v>657</v>
      </c>
      <c r="C9" s="491" t="s">
        <v>587</v>
      </c>
      <c r="D9" s="497">
        <f>D8-D10</f>
        <v>0</v>
      </c>
      <c r="E9" s="497">
        <f>E8-E10</f>
        <v>0</v>
      </c>
      <c r="F9" s="497">
        <f>F8-F10</f>
        <v>0</v>
      </c>
      <c r="G9" s="497">
        <f>G8-G10</f>
        <v>0</v>
      </c>
      <c r="H9" s="494">
        <f t="shared" si="2"/>
        <v>0</v>
      </c>
      <c r="I9" s="494">
        <f t="shared" si="2"/>
        <v>0</v>
      </c>
      <c r="J9" s="494">
        <f t="shared" si="2"/>
        <v>0</v>
      </c>
      <c r="K9" s="495" t="str">
        <f t="shared" si="3"/>
        <v xml:space="preserve"> </v>
      </c>
      <c r="L9" s="495" t="str">
        <f t="shared" si="1"/>
        <v xml:space="preserve"> </v>
      </c>
      <c r="M9" s="495" t="str">
        <f t="shared" si="1"/>
        <v xml:space="preserve"> </v>
      </c>
    </row>
    <row r="10" spans="1:13">
      <c r="A10" s="491" t="s">
        <v>245</v>
      </c>
      <c r="B10" s="496" t="s">
        <v>658</v>
      </c>
      <c r="C10" s="491" t="s">
        <v>587</v>
      </c>
      <c r="D10" s="493">
        <f>'Свод долгосрочный '!E109/1000</f>
        <v>6.33</v>
      </c>
      <c r="E10" s="493">
        <f>'Свод долгосрочный '!H109/1000</f>
        <v>6.4740000000000002</v>
      </c>
      <c r="F10" s="493">
        <f>'Свод долгосрочный '!K109/1000</f>
        <v>5.64</v>
      </c>
      <c r="G10" s="493">
        <f>'Свод долгосрочный '!M109/1000</f>
        <v>5.7309999999999999</v>
      </c>
      <c r="H10" s="494">
        <f t="shared" si="2"/>
        <v>0.14400000000000013</v>
      </c>
      <c r="I10" s="494">
        <f t="shared" si="2"/>
        <v>-0.83400000000000052</v>
      </c>
      <c r="J10" s="494">
        <f t="shared" si="2"/>
        <v>9.1000000000000192E-2</v>
      </c>
      <c r="K10" s="495">
        <f t="shared" si="3"/>
        <v>1.0227488151658768</v>
      </c>
      <c r="L10" s="495">
        <f t="shared" si="1"/>
        <v>0.87117701575532891</v>
      </c>
      <c r="M10" s="495">
        <f t="shared" si="1"/>
        <v>1.0161347517730497</v>
      </c>
    </row>
    <row r="11" spans="1:13">
      <c r="A11" s="491">
        <v>3</v>
      </c>
      <c r="B11" s="492" t="s">
        <v>659</v>
      </c>
      <c r="C11" s="498" t="s">
        <v>280</v>
      </c>
      <c r="D11" s="499">
        <f>IF(D8=0," ",D8/D7)</f>
        <v>0.22054980662694679</v>
      </c>
      <c r="E11" s="499">
        <f>IF(E8=0," ",E8/E7)</f>
        <v>0.2222603680307608</v>
      </c>
      <c r="F11" s="499">
        <f>IF(F8=0," ",F8/F7)</f>
        <v>0.1964677604765388</v>
      </c>
      <c r="G11" s="499">
        <f>IF(G8=0," ",G8/G7)</f>
        <v>0.19649591990674073</v>
      </c>
      <c r="H11" s="500">
        <f>E11-D11</f>
        <v>1.7105614038140093E-3</v>
      </c>
      <c r="I11" s="500">
        <f t="shared" si="2"/>
        <v>-2.5792607554221997E-2</v>
      </c>
      <c r="J11" s="500">
        <f t="shared" si="2"/>
        <v>2.8159430201929458E-5</v>
      </c>
      <c r="K11" s="495">
        <f t="shared" si="3"/>
        <v>1.0077558961849709</v>
      </c>
      <c r="L11" s="495">
        <f t="shared" si="1"/>
        <v>0.88395318615394214</v>
      </c>
      <c r="M11" s="495">
        <f t="shared" si="1"/>
        <v>1.0001433285040437</v>
      </c>
    </row>
    <row r="12" spans="1:13">
      <c r="A12" s="501" t="s">
        <v>298</v>
      </c>
      <c r="B12" s="496" t="s">
        <v>657</v>
      </c>
      <c r="C12" s="498" t="s">
        <v>280</v>
      </c>
      <c r="D12" s="499">
        <f>IF(D9=0,0,D9/(D9+D15))</f>
        <v>0</v>
      </c>
      <c r="E12" s="499">
        <f t="shared" ref="E12:G13" si="4">IF(E9=0,0,E9/(E9+E15))</f>
        <v>0</v>
      </c>
      <c r="F12" s="499">
        <f t="shared" si="4"/>
        <v>0</v>
      </c>
      <c r="G12" s="499">
        <f t="shared" si="4"/>
        <v>0</v>
      </c>
      <c r="H12" s="500">
        <f t="shared" si="2"/>
        <v>0</v>
      </c>
      <c r="I12" s="500">
        <f t="shared" si="2"/>
        <v>0</v>
      </c>
      <c r="J12" s="500">
        <f t="shared" si="2"/>
        <v>0</v>
      </c>
      <c r="K12" s="495" t="str">
        <f t="shared" si="3"/>
        <v xml:space="preserve"> </v>
      </c>
      <c r="L12" s="495" t="str">
        <f t="shared" si="1"/>
        <v xml:space="preserve"> </v>
      </c>
      <c r="M12" s="495" t="str">
        <f t="shared" si="1"/>
        <v xml:space="preserve"> </v>
      </c>
    </row>
    <row r="13" spans="1:13">
      <c r="A13" s="501" t="s">
        <v>299</v>
      </c>
      <c r="B13" s="496" t="s">
        <v>658</v>
      </c>
      <c r="C13" s="498" t="s">
        <v>280</v>
      </c>
      <c r="D13" s="499">
        <f>IF(D10=0,0,D10/(D10+D16))</f>
        <v>0.22054980662694679</v>
      </c>
      <c r="E13" s="499">
        <f t="shared" si="4"/>
        <v>0.2222603680307608</v>
      </c>
      <c r="F13" s="499">
        <f t="shared" si="4"/>
        <v>0.1964677604765388</v>
      </c>
      <c r="G13" s="499">
        <f t="shared" si="4"/>
        <v>0.19649591990674073</v>
      </c>
      <c r="H13" s="500">
        <f t="shared" si="2"/>
        <v>1.7105614038140093E-3</v>
      </c>
      <c r="I13" s="500">
        <f>F13-E13</f>
        <v>-2.5792607554221997E-2</v>
      </c>
      <c r="J13" s="500">
        <f t="shared" si="2"/>
        <v>2.8159430201929458E-5</v>
      </c>
      <c r="K13" s="495">
        <f t="shared" si="3"/>
        <v>1.0077558961849709</v>
      </c>
      <c r="L13" s="495">
        <f t="shared" si="1"/>
        <v>0.88395318615394214</v>
      </c>
      <c r="M13" s="495">
        <f t="shared" si="1"/>
        <v>1.0001433285040437</v>
      </c>
    </row>
    <row r="14" spans="1:13">
      <c r="A14" s="491">
        <v>4</v>
      </c>
      <c r="B14" s="492" t="s">
        <v>660</v>
      </c>
      <c r="C14" s="491" t="s">
        <v>587</v>
      </c>
      <c r="D14" s="493">
        <f>'Свод долгосрочный '!E125/1000</f>
        <v>22.370999999999999</v>
      </c>
      <c r="E14" s="493">
        <f>'Свод долгосрочный '!H125/1000</f>
        <v>22.654</v>
      </c>
      <c r="F14" s="493">
        <f>'Свод долгосрочный '!K125/1000</f>
        <v>23.067</v>
      </c>
      <c r="G14" s="493">
        <f>'Свод долгосрочный '!M125/1000</f>
        <v>23.434999999999999</v>
      </c>
      <c r="H14" s="494">
        <f t="shared" si="2"/>
        <v>0.28300000000000125</v>
      </c>
      <c r="I14" s="494">
        <f t="shared" si="2"/>
        <v>0.41300000000000026</v>
      </c>
      <c r="J14" s="494">
        <f t="shared" si="2"/>
        <v>0.36799999999999855</v>
      </c>
      <c r="K14" s="495">
        <f t="shared" si="3"/>
        <v>1.0126503061999912</v>
      </c>
      <c r="L14" s="495">
        <f t="shared" si="1"/>
        <v>1.0182307760218945</v>
      </c>
      <c r="M14" s="495">
        <f t="shared" si="1"/>
        <v>1.0159535266831403</v>
      </c>
    </row>
    <row r="15" spans="1:13">
      <c r="A15" s="491" t="s">
        <v>300</v>
      </c>
      <c r="B15" s="496" t="s">
        <v>661</v>
      </c>
      <c r="C15" s="491" t="s">
        <v>587</v>
      </c>
      <c r="D15" s="497">
        <f>D14-D16</f>
        <v>0</v>
      </c>
      <c r="E15" s="497">
        <f>E14-E16</f>
        <v>0</v>
      </c>
      <c r="F15" s="497">
        <f>F14-F16</f>
        <v>0</v>
      </c>
      <c r="G15" s="497">
        <f>G14-G16</f>
        <v>0</v>
      </c>
      <c r="H15" s="494">
        <f t="shared" si="2"/>
        <v>0</v>
      </c>
      <c r="I15" s="494">
        <f t="shared" si="2"/>
        <v>0</v>
      </c>
      <c r="J15" s="494">
        <f t="shared" si="2"/>
        <v>0</v>
      </c>
      <c r="K15" s="495" t="str">
        <f t="shared" si="3"/>
        <v xml:space="preserve"> </v>
      </c>
      <c r="L15" s="495" t="str">
        <f t="shared" si="1"/>
        <v xml:space="preserve"> </v>
      </c>
      <c r="M15" s="495" t="str">
        <f t="shared" si="1"/>
        <v xml:space="preserve"> </v>
      </c>
    </row>
    <row r="16" spans="1:13">
      <c r="A16" s="491" t="s">
        <v>301</v>
      </c>
      <c r="B16" s="496" t="s">
        <v>662</v>
      </c>
      <c r="C16" s="491" t="s">
        <v>587</v>
      </c>
      <c r="D16" s="493">
        <f>'Свод долгосрочный '!E126/1000</f>
        <v>22.370999999999999</v>
      </c>
      <c r="E16" s="493">
        <f>'Свод долгосрочный '!H126/1000</f>
        <v>22.654</v>
      </c>
      <c r="F16" s="493">
        <f>'Свод долгосрочный '!K126/1000</f>
        <v>23.067</v>
      </c>
      <c r="G16" s="493">
        <f>'Свод долгосрочный '!M126/1000</f>
        <v>23.434999999999999</v>
      </c>
      <c r="H16" s="494">
        <f t="shared" si="2"/>
        <v>0.28300000000000125</v>
      </c>
      <c r="I16" s="494">
        <f t="shared" si="2"/>
        <v>0.41300000000000026</v>
      </c>
      <c r="J16" s="494">
        <f t="shared" si="2"/>
        <v>0.36799999999999855</v>
      </c>
      <c r="K16" s="495">
        <f t="shared" si="3"/>
        <v>1.0126503061999912</v>
      </c>
      <c r="L16" s="495">
        <f t="shared" si="1"/>
        <v>1.0182307760218945</v>
      </c>
      <c r="M16" s="495">
        <f t="shared" si="1"/>
        <v>1.0159535266831403</v>
      </c>
    </row>
    <row r="17" spans="1:13">
      <c r="A17" s="491" t="s">
        <v>663</v>
      </c>
      <c r="B17" s="496" t="s">
        <v>664</v>
      </c>
      <c r="C17" s="491" t="s">
        <v>280</v>
      </c>
      <c r="D17" s="502">
        <f>IF(D14=0,0,D16/D14)</f>
        <v>1</v>
      </c>
      <c r="E17" s="502">
        <f>IF(E14=0,0,E16/E14)</f>
        <v>1</v>
      </c>
      <c r="F17" s="502">
        <f>IF(F14=0,0,F16/F14)</f>
        <v>1</v>
      </c>
      <c r="G17" s="502">
        <f>IF(G14=0,0,G16/G14)</f>
        <v>1</v>
      </c>
      <c r="H17" s="500">
        <f t="shared" si="2"/>
        <v>0</v>
      </c>
      <c r="I17" s="500">
        <f>F17-E17</f>
        <v>0</v>
      </c>
      <c r="J17" s="500">
        <f t="shared" si="2"/>
        <v>0</v>
      </c>
      <c r="K17" s="495">
        <f t="shared" si="3"/>
        <v>1</v>
      </c>
      <c r="L17" s="495">
        <f t="shared" si="1"/>
        <v>1</v>
      </c>
      <c r="M17" s="495">
        <f t="shared" si="1"/>
        <v>1</v>
      </c>
    </row>
    <row r="18" spans="1:13">
      <c r="A18" s="484"/>
      <c r="B18" s="485" t="s">
        <v>665</v>
      </c>
      <c r="C18" s="503"/>
      <c r="D18" s="503"/>
      <c r="E18" s="503"/>
      <c r="F18" s="437"/>
      <c r="G18" s="437"/>
      <c r="H18" s="494"/>
      <c r="I18" s="494"/>
      <c r="J18" s="494"/>
      <c r="K18" s="495"/>
      <c r="L18" s="495"/>
      <c r="M18" s="495"/>
    </row>
    <row r="19" spans="1:13">
      <c r="A19" s="484">
        <v>1</v>
      </c>
      <c r="B19" s="487" t="s">
        <v>666</v>
      </c>
      <c r="C19" s="484" t="s">
        <v>292</v>
      </c>
      <c r="D19" s="504">
        <f>D21+D22</f>
        <v>39696.210453221225</v>
      </c>
      <c r="E19" s="504">
        <f>E21+E22</f>
        <v>46468.611676714529</v>
      </c>
      <c r="F19" s="504">
        <f>F21+F22</f>
        <v>57698.457388392868</v>
      </c>
      <c r="G19" s="504">
        <f>G21+G22</f>
        <v>55260.768047994767</v>
      </c>
      <c r="H19" s="489">
        <f t="shared" si="2"/>
        <v>6772.4012234933034</v>
      </c>
      <c r="I19" s="489">
        <f t="shared" si="2"/>
        <v>11229.845711678339</v>
      </c>
      <c r="J19" s="489">
        <f t="shared" si="2"/>
        <v>-2437.6893403981012</v>
      </c>
      <c r="K19" s="490">
        <f t="shared" ref="K19:M23" si="5">IF(D19=0," ",E19/D19)</f>
        <v>1.1706057365721101</v>
      </c>
      <c r="L19" s="490">
        <f t="shared" si="5"/>
        <v>1.2416651865953126</v>
      </c>
      <c r="M19" s="490">
        <f t="shared" si="5"/>
        <v>0.95775122159698345</v>
      </c>
    </row>
    <row r="20" spans="1:13">
      <c r="A20" s="505" t="s">
        <v>401</v>
      </c>
      <c r="B20" s="492" t="s">
        <v>667</v>
      </c>
      <c r="C20" s="491"/>
      <c r="D20" s="506">
        <f>D21+D22</f>
        <v>39696.210453221225</v>
      </c>
      <c r="E20" s="506">
        <f>E21+E22</f>
        <v>46468.611676714529</v>
      </c>
      <c r="F20" s="506">
        <f>F21+F22</f>
        <v>57698.457388392868</v>
      </c>
      <c r="G20" s="506">
        <f>G21+G22</f>
        <v>55260.768047994767</v>
      </c>
      <c r="H20" s="494">
        <f>E20-D20</f>
        <v>6772.4012234933034</v>
      </c>
      <c r="I20" s="494">
        <f>F20-E20</f>
        <v>11229.845711678339</v>
      </c>
      <c r="J20" s="494">
        <f>G20-F20</f>
        <v>-2437.6893403981012</v>
      </c>
      <c r="K20" s="495">
        <f>IF(D20=0," ",E20/D20)</f>
        <v>1.1706057365721101</v>
      </c>
      <c r="L20" s="495">
        <f t="shared" si="5"/>
        <v>1.2416651865953126</v>
      </c>
      <c r="M20" s="495">
        <f t="shared" si="5"/>
        <v>0.95775122159698345</v>
      </c>
    </row>
    <row r="21" spans="1:13">
      <c r="A21" s="491"/>
      <c r="B21" s="492" t="s">
        <v>668</v>
      </c>
      <c r="C21" s="491" t="s">
        <v>292</v>
      </c>
      <c r="D21" s="506">
        <f>'Свод долгосрочный '!E85</f>
        <v>20847.406523221223</v>
      </c>
      <c r="E21" s="506">
        <f>'Свод долгосрочный '!H85</f>
        <v>24380.016876714533</v>
      </c>
      <c r="F21" s="506">
        <f>'Свод долгосрочный '!K85</f>
        <v>37873.168138101537</v>
      </c>
      <c r="G21" s="506">
        <f>'Свод долгосрочный '!M85</f>
        <v>34152.922678214047</v>
      </c>
      <c r="H21" s="494">
        <f t="shared" si="2"/>
        <v>3532.61035349331</v>
      </c>
      <c r="I21" s="494">
        <f t="shared" si="2"/>
        <v>13493.151261387004</v>
      </c>
      <c r="J21" s="494">
        <f t="shared" si="2"/>
        <v>-3720.2454598874901</v>
      </c>
      <c r="K21" s="495">
        <f t="shared" si="5"/>
        <v>1.1694508307092517</v>
      </c>
      <c r="L21" s="495">
        <f t="shared" si="5"/>
        <v>1.553451268291548</v>
      </c>
      <c r="M21" s="495">
        <f t="shared" si="5"/>
        <v>0.90177094648322242</v>
      </c>
    </row>
    <row r="22" spans="1:13">
      <c r="A22" s="505" t="s">
        <v>402</v>
      </c>
      <c r="B22" s="496" t="s">
        <v>669</v>
      </c>
      <c r="C22" s="491" t="s">
        <v>292</v>
      </c>
      <c r="D22" s="506">
        <f>'Свод долгосрочный '!E146</f>
        <v>18848.803929999998</v>
      </c>
      <c r="E22" s="506">
        <f>'Свод долгосрочный '!H146</f>
        <v>22088.594799999999</v>
      </c>
      <c r="F22" s="506">
        <f>'Свод долгосрочный '!K146</f>
        <v>19825.289250291327</v>
      </c>
      <c r="G22" s="506">
        <f>'Свод долгосрочный '!M146</f>
        <v>21107.84536978072</v>
      </c>
      <c r="H22" s="494">
        <f t="shared" si="2"/>
        <v>3239.7908700000007</v>
      </c>
      <c r="I22" s="494">
        <f t="shared" si="2"/>
        <v>-2263.3055497086716</v>
      </c>
      <c r="J22" s="494">
        <f t="shared" si="2"/>
        <v>1282.5561194893926</v>
      </c>
      <c r="K22" s="495">
        <f t="shared" si="5"/>
        <v>1.1718831010196624</v>
      </c>
      <c r="L22" s="495">
        <f t="shared" si="5"/>
        <v>0.89753510487191912</v>
      </c>
      <c r="M22" s="495">
        <f t="shared" si="5"/>
        <v>1.0646929335202786</v>
      </c>
    </row>
    <row r="23" spans="1:13">
      <c r="A23" s="505" t="s">
        <v>670</v>
      </c>
      <c r="B23" s="496" t="s">
        <v>671</v>
      </c>
      <c r="C23" s="491" t="s">
        <v>672</v>
      </c>
      <c r="D23" s="507">
        <f>IF(D10=0,0,D22/D10)</f>
        <v>2977.6941437598734</v>
      </c>
      <c r="E23" s="507">
        <f>IF(E10=0,0,E22/E10)</f>
        <v>3411.8929255483472</v>
      </c>
      <c r="F23" s="507">
        <f>IF(F10=0,0,F22/F10)</f>
        <v>3515.1222074984626</v>
      </c>
      <c r="G23" s="507">
        <f>IF(G10=0,0,G22/G10)</f>
        <v>3683.0998725843169</v>
      </c>
      <c r="H23" s="494">
        <f t="shared" si="2"/>
        <v>434.19878178847375</v>
      </c>
      <c r="I23" s="494">
        <f t="shared" si="2"/>
        <v>103.22928195011536</v>
      </c>
      <c r="J23" s="494">
        <f t="shared" si="2"/>
        <v>167.97766508585437</v>
      </c>
      <c r="K23" s="495">
        <f t="shared" si="5"/>
        <v>1.1458171191619499</v>
      </c>
      <c r="L23" s="495">
        <f t="shared" si="5"/>
        <v>1.0302557214434052</v>
      </c>
      <c r="M23" s="495">
        <f t="shared" si="5"/>
        <v>1.0477871479766832</v>
      </c>
    </row>
    <row r="24" spans="1:13">
      <c r="A24" s="508"/>
      <c r="B24" s="509"/>
      <c r="C24" s="510"/>
      <c r="D24" s="511"/>
      <c r="E24" s="511"/>
      <c r="F24" s="511"/>
      <c r="G24" s="511"/>
      <c r="H24" s="511"/>
      <c r="I24" s="511"/>
      <c r="J24" s="511"/>
      <c r="K24" s="511"/>
      <c r="L24" s="511"/>
      <c r="M24" s="511"/>
    </row>
    <row r="25" spans="1:13">
      <c r="A25" s="477"/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</row>
    <row r="26" spans="1:13">
      <c r="A26" s="477"/>
      <c r="B26" s="477" t="s">
        <v>673</v>
      </c>
      <c r="C26" s="477"/>
      <c r="D26" s="477"/>
      <c r="E26" s="477"/>
      <c r="F26" s="477"/>
      <c r="G26" s="477"/>
      <c r="H26" s="477"/>
      <c r="I26" s="477"/>
      <c r="J26" s="477"/>
      <c r="K26" s="477"/>
      <c r="L26" s="477"/>
      <c r="M26" s="477"/>
    </row>
    <row r="28" spans="1:13" ht="15.75">
      <c r="B28" s="746" t="s">
        <v>802</v>
      </c>
    </row>
    <row r="29" spans="1:13" ht="15.75">
      <c r="B29" s="746"/>
    </row>
    <row r="31" spans="1:13">
      <c r="A31" s="481" t="s">
        <v>241</v>
      </c>
      <c r="B31" s="487" t="s">
        <v>560</v>
      </c>
      <c r="C31" s="437" t="s">
        <v>267</v>
      </c>
      <c r="D31" s="484">
        <v>2020</v>
      </c>
      <c r="E31" s="484">
        <v>2021</v>
      </c>
      <c r="F31" s="484">
        <v>2022</v>
      </c>
      <c r="G31" s="484">
        <v>2023</v>
      </c>
      <c r="H31" s="484">
        <v>2024</v>
      </c>
    </row>
    <row r="32" spans="1:13" ht="24">
      <c r="A32" s="491">
        <v>1</v>
      </c>
      <c r="B32" s="492" t="s">
        <v>799</v>
      </c>
      <c r="C32" s="491" t="s">
        <v>292</v>
      </c>
      <c r="D32" s="491"/>
      <c r="E32" s="491"/>
      <c r="F32" s="491"/>
      <c r="G32" s="247"/>
      <c r="H32" s="247"/>
    </row>
    <row r="33" spans="1:8" ht="24">
      <c r="A33" s="491">
        <v>2</v>
      </c>
      <c r="B33" s="492" t="s">
        <v>800</v>
      </c>
      <c r="C33" s="491" t="s">
        <v>292</v>
      </c>
      <c r="D33" s="491"/>
      <c r="E33" s="491"/>
      <c r="F33" s="491"/>
      <c r="G33" s="247"/>
      <c r="H33" s="247"/>
    </row>
    <row r="34" spans="1:8">
      <c r="A34" s="491">
        <v>3</v>
      </c>
      <c r="B34" s="492" t="s">
        <v>801</v>
      </c>
      <c r="C34" s="491" t="s">
        <v>292</v>
      </c>
      <c r="D34" s="491"/>
      <c r="E34" s="491"/>
      <c r="F34" s="491"/>
      <c r="G34" s="247"/>
      <c r="H34" s="247"/>
    </row>
    <row r="36" spans="1:8" ht="15.75">
      <c r="B36" s="746" t="s">
        <v>803</v>
      </c>
    </row>
    <row r="37" spans="1:8" ht="15.75">
      <c r="B37" s="25"/>
    </row>
    <row r="38" spans="1:8" ht="15.75">
      <c r="B38" s="747" t="s">
        <v>560</v>
      </c>
      <c r="C38" s="747">
        <v>2020</v>
      </c>
      <c r="D38" s="747">
        <v>2021</v>
      </c>
      <c r="E38" s="747">
        <v>2022</v>
      </c>
      <c r="F38" s="747">
        <v>2023</v>
      </c>
      <c r="G38" s="752">
        <v>2024</v>
      </c>
    </row>
    <row r="39" spans="1:8" ht="31.5">
      <c r="B39" s="748" t="s">
        <v>804</v>
      </c>
      <c r="C39" s="749">
        <f>SUM(C40:C43)</f>
        <v>0</v>
      </c>
      <c r="D39" s="749">
        <f>SUM(D40:D43)</f>
        <v>0</v>
      </c>
      <c r="E39" s="757">
        <f>SUM(E40:E43)</f>
        <v>0</v>
      </c>
      <c r="F39" s="757">
        <f>SUM(F40:F43)</f>
        <v>0</v>
      </c>
      <c r="G39" s="757">
        <f>SUM(G40:G43)</f>
        <v>0</v>
      </c>
    </row>
    <row r="40" spans="1:8" ht="15.75">
      <c r="B40" s="750" t="s">
        <v>382</v>
      </c>
      <c r="C40" s="751"/>
      <c r="D40" s="751"/>
      <c r="E40" s="755"/>
      <c r="F40" s="755"/>
      <c r="G40" s="756"/>
    </row>
    <row r="41" spans="1:8" ht="15.75">
      <c r="B41" s="750" t="s">
        <v>392</v>
      </c>
      <c r="C41" s="751"/>
      <c r="D41" s="751"/>
      <c r="E41" s="755"/>
      <c r="F41" s="755"/>
      <c r="G41" s="756"/>
    </row>
    <row r="42" spans="1:8" ht="15.75">
      <c r="B42" s="750" t="s">
        <v>393</v>
      </c>
      <c r="C42" s="751"/>
      <c r="D42" s="751"/>
      <c r="E42" s="755"/>
      <c r="F42" s="755"/>
      <c r="G42" s="756"/>
    </row>
    <row r="43" spans="1:8" ht="15.75">
      <c r="B43" s="750" t="s">
        <v>399</v>
      </c>
      <c r="C43" s="751"/>
      <c r="D43" s="751"/>
      <c r="E43" s="755"/>
      <c r="F43" s="755"/>
      <c r="G43" s="756"/>
    </row>
    <row r="45" spans="1:8" ht="15.75">
      <c r="B45" s="746" t="s">
        <v>813</v>
      </c>
    </row>
    <row r="47" spans="1:8" ht="14.25">
      <c r="B47" s="745" t="s">
        <v>560</v>
      </c>
      <c r="C47" s="745" t="s">
        <v>261</v>
      </c>
      <c r="D47" s="745">
        <v>2020</v>
      </c>
      <c r="E47" s="745">
        <v>2021</v>
      </c>
      <c r="F47" s="745">
        <v>2022</v>
      </c>
      <c r="G47" s="745">
        <v>2023</v>
      </c>
      <c r="H47" s="875">
        <v>2024</v>
      </c>
    </row>
    <row r="48" spans="1:8" ht="15.75">
      <c r="B48" s="753" t="s">
        <v>805</v>
      </c>
      <c r="C48" s="4" t="s">
        <v>806</v>
      </c>
      <c r="D48" s="751">
        <f>'Свод долгосрочный '!K130</f>
        <v>4.1989999999999998</v>
      </c>
      <c r="E48" s="751">
        <f>'Свод долгосрочный '!M130</f>
        <v>4.2613000000000003</v>
      </c>
      <c r="F48" s="751">
        <f>'Свод долгосрочный '!N130</f>
        <v>4.2613000000000003</v>
      </c>
      <c r="G48" s="751">
        <f>'Свод долгосрочный '!O130</f>
        <v>4.2613000000000003</v>
      </c>
      <c r="H48" s="751">
        <f>'Свод долгосрочный '!P130</f>
        <v>4.2613000000000003</v>
      </c>
    </row>
    <row r="49" spans="2:8" ht="15.75">
      <c r="B49" s="753" t="s">
        <v>807</v>
      </c>
      <c r="C49" s="4" t="s">
        <v>808</v>
      </c>
      <c r="D49" s="749">
        <f>'Свод долгосрочный '!K131</f>
        <v>26.6966</v>
      </c>
      <c r="E49" s="749">
        <f>'Свод долгосрочный '!M131</f>
        <v>26.6966</v>
      </c>
      <c r="F49" s="749">
        <f>'Свод долгосрочный '!N131</f>
        <v>26.6966</v>
      </c>
      <c r="G49" s="749">
        <f>'Свод долгосрочный '!O131</f>
        <v>26.6966</v>
      </c>
      <c r="H49" s="749">
        <f>'Свод долгосрочный '!P131</f>
        <v>26.6966</v>
      </c>
    </row>
    <row r="50" spans="2:8" ht="15.75">
      <c r="B50" s="753" t="s">
        <v>809</v>
      </c>
      <c r="C50" s="4" t="s">
        <v>810</v>
      </c>
      <c r="D50" s="754">
        <f>'Свод долгосрочный '!K102</f>
        <v>28707</v>
      </c>
      <c r="E50" s="754">
        <f>'Свод долгосрочный '!M102</f>
        <v>29166</v>
      </c>
      <c r="F50" s="754">
        <f>'Свод долгосрочный '!N102</f>
        <v>29166</v>
      </c>
      <c r="G50" s="754">
        <f>'Свод долгосрочный '!O102</f>
        <v>29166</v>
      </c>
      <c r="H50" s="754">
        <f>'Свод долгосрочный '!P102</f>
        <v>29166</v>
      </c>
    </row>
    <row r="51" spans="2:8" ht="15.75">
      <c r="B51" s="753" t="s">
        <v>811</v>
      </c>
      <c r="C51" s="4" t="s">
        <v>810</v>
      </c>
      <c r="D51" s="754">
        <f>'Свод долгосрочный '!K125</f>
        <v>23067</v>
      </c>
      <c r="E51" s="754">
        <f>'Свод долгосрочный '!M125</f>
        <v>23435</v>
      </c>
      <c r="F51" s="754">
        <f>'Свод долгосрочный '!N125</f>
        <v>23435</v>
      </c>
      <c r="G51" s="754">
        <f>'Свод долгосрочный '!O125</f>
        <v>23435</v>
      </c>
      <c r="H51" s="754">
        <f>'Свод долгосрочный '!P125</f>
        <v>23435</v>
      </c>
    </row>
    <row r="52" spans="2:8" ht="15.75">
      <c r="B52" s="753" t="s">
        <v>812</v>
      </c>
      <c r="C52" s="4" t="s">
        <v>810</v>
      </c>
      <c r="D52" s="755">
        <f>'Свод долгосрочный '!K109</f>
        <v>5640</v>
      </c>
      <c r="E52" s="755">
        <f>'Свод долгосрочный '!M109</f>
        <v>5731</v>
      </c>
      <c r="F52" s="755">
        <f>'Свод долгосрочный '!N109</f>
        <v>5731</v>
      </c>
      <c r="G52" s="755">
        <f>'Свод долгосрочный '!O109</f>
        <v>5731</v>
      </c>
      <c r="H52" s="755">
        <f>'Свод долгосрочный '!P109</f>
        <v>5731</v>
      </c>
    </row>
  </sheetData>
  <mergeCells count="6">
    <mergeCell ref="A1:L1"/>
    <mergeCell ref="A2:L2"/>
    <mergeCell ref="D4:E4"/>
    <mergeCell ref="F4:G4"/>
    <mergeCell ref="H4:J4"/>
    <mergeCell ref="K4:M4"/>
  </mergeCells>
  <pageMargins left="0.7" right="0.7" top="0.75" bottom="0.75" header="0.3" footer="0.3"/>
  <pageSetup paperSize="9" scale="83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K50"/>
  <sheetViews>
    <sheetView topLeftCell="A21" workbookViewId="0">
      <selection activeCell="E51" sqref="E51"/>
    </sheetView>
  </sheetViews>
  <sheetFormatPr defaultRowHeight="15"/>
  <cols>
    <col min="1" max="1" width="52" style="798" customWidth="1"/>
    <col min="2" max="2" width="6.85546875" style="798" customWidth="1"/>
    <col min="3" max="3" width="17.42578125" style="798" customWidth="1"/>
    <col min="4" max="4" width="16.7109375" style="798" customWidth="1"/>
    <col min="5" max="5" width="14.7109375" style="798" customWidth="1"/>
    <col min="6" max="6" width="13.42578125" style="798" customWidth="1"/>
    <col min="7" max="7" width="14.42578125" style="798" customWidth="1"/>
    <col min="8" max="9" width="13.42578125" style="798" customWidth="1"/>
    <col min="10" max="10" width="22" style="798" customWidth="1"/>
    <col min="11" max="11" width="23.140625" style="798" customWidth="1"/>
    <col min="12" max="16384" width="9.140625" style="798"/>
  </cols>
  <sheetData>
    <row r="1" spans="1:11">
      <c r="A1" s="1654" t="str">
        <f>'Свод долгосрочный '!B2</f>
        <v>МУ МПЖКХ Гусь-Железный</v>
      </c>
      <c r="B1" s="1654"/>
      <c r="C1" s="1654"/>
      <c r="D1" s="1654"/>
      <c r="E1" s="1654"/>
      <c r="F1" s="1654"/>
      <c r="G1" s="1654"/>
      <c r="H1" s="1654"/>
      <c r="I1" s="1654"/>
      <c r="J1" s="1654"/>
    </row>
    <row r="2" spans="1:11" s="799" customFormat="1">
      <c r="A2" s="1654" t="s">
        <v>838</v>
      </c>
      <c r="B2" s="1654"/>
      <c r="C2" s="1654"/>
      <c r="D2" s="1654"/>
      <c r="E2" s="1654"/>
      <c r="F2" s="1654"/>
      <c r="G2" s="1654"/>
      <c r="H2" s="1654"/>
      <c r="I2" s="1654"/>
      <c r="J2" s="1654"/>
    </row>
    <row r="3" spans="1:11">
      <c r="A3" s="800"/>
      <c r="B3" s="800"/>
      <c r="C3" s="800"/>
      <c r="D3" s="800"/>
      <c r="E3" s="800"/>
      <c r="F3" s="800"/>
      <c r="G3" s="800"/>
      <c r="H3" s="800"/>
      <c r="I3" s="800"/>
      <c r="J3" s="801" t="s">
        <v>292</v>
      </c>
    </row>
    <row r="4" spans="1:11">
      <c r="A4" s="1650" t="s">
        <v>839</v>
      </c>
      <c r="B4" s="1407"/>
      <c r="C4" s="802"/>
      <c r="D4" s="802"/>
      <c r="E4" s="802"/>
      <c r="F4" s="802"/>
      <c r="G4" s="802"/>
      <c r="H4" s="1650" t="s">
        <v>840</v>
      </c>
      <c r="I4" s="1650"/>
      <c r="J4" s="1650"/>
      <c r="K4" s="1650"/>
    </row>
    <row r="5" spans="1:11" ht="42.75">
      <c r="A5" s="1650"/>
      <c r="B5" s="1408" t="s">
        <v>841</v>
      </c>
      <c r="C5" s="803" t="s">
        <v>1487</v>
      </c>
      <c r="D5" s="803" t="s">
        <v>981</v>
      </c>
      <c r="E5" s="803" t="s">
        <v>982</v>
      </c>
      <c r="F5" s="804" t="s">
        <v>842</v>
      </c>
      <c r="G5" s="804" t="s">
        <v>843</v>
      </c>
      <c r="H5" s="804" t="s">
        <v>844</v>
      </c>
      <c r="I5" s="804" t="s">
        <v>845</v>
      </c>
      <c r="J5" s="804" t="s">
        <v>846</v>
      </c>
      <c r="K5" s="804" t="s">
        <v>847</v>
      </c>
    </row>
    <row r="6" spans="1:11" ht="19.5">
      <c r="A6" s="805" t="s">
        <v>848</v>
      </c>
      <c r="B6" s="806"/>
      <c r="C6" s="806"/>
      <c r="D6" s="806"/>
      <c r="E6" s="806"/>
      <c r="F6" s="806"/>
      <c r="G6" s="806"/>
      <c r="H6" s="806"/>
      <c r="I6" s="806"/>
      <c r="J6" s="806"/>
      <c r="K6" s="807"/>
    </row>
    <row r="7" spans="1:11" ht="16.5">
      <c r="A7" s="808" t="s">
        <v>849</v>
      </c>
      <c r="B7" s="808"/>
      <c r="C7" s="809"/>
      <c r="D7" s="809"/>
      <c r="E7" s="809"/>
      <c r="F7" s="809"/>
      <c r="G7" s="809"/>
      <c r="H7" s="809"/>
      <c r="I7" s="809"/>
      <c r="J7" s="809"/>
      <c r="K7" s="809"/>
    </row>
    <row r="8" spans="1:11">
      <c r="A8" s="810" t="s">
        <v>850</v>
      </c>
      <c r="B8" s="811">
        <v>1110</v>
      </c>
      <c r="C8" s="812"/>
      <c r="D8" s="812"/>
      <c r="E8" s="812"/>
      <c r="F8" s="813">
        <f>D8/$D$26</f>
        <v>0</v>
      </c>
      <c r="G8" s="813">
        <f>C8/$C$26</f>
        <v>0</v>
      </c>
      <c r="H8" s="814">
        <f>C8-D8</f>
        <v>0</v>
      </c>
      <c r="I8" s="813">
        <f>G8-F8</f>
        <v>0</v>
      </c>
      <c r="J8" t="e">
        <f>H8/D8</f>
        <v>#DIV/0!</v>
      </c>
      <c r="K8" t="e">
        <f>H8/C8</f>
        <v>#DIV/0!</v>
      </c>
    </row>
    <row r="9" spans="1:11">
      <c r="A9" s="810" t="s">
        <v>851</v>
      </c>
      <c r="B9" s="811">
        <v>1120</v>
      </c>
      <c r="C9" s="812"/>
      <c r="D9" s="812"/>
      <c r="E9" s="812"/>
      <c r="F9" s="813">
        <f>D9/$D$26</f>
        <v>0</v>
      </c>
      <c r="G9" s="813">
        <f t="shared" ref="G9:G17" si="0">C9/$C$26</f>
        <v>0</v>
      </c>
      <c r="H9" s="814">
        <f t="shared" ref="H9:H17" si="1">C9-D9</f>
        <v>0</v>
      </c>
      <c r="I9" s="813">
        <f>G9-F9</f>
        <v>0</v>
      </c>
      <c r="J9" t="e">
        <f t="shared" ref="J9:J26" si="2">H9/D9</f>
        <v>#DIV/0!</v>
      </c>
      <c r="K9" t="e">
        <f t="shared" ref="K9:K26" si="3">H9/C9</f>
        <v>#DIV/0!</v>
      </c>
    </row>
    <row r="10" spans="1:11">
      <c r="A10" s="810" t="s">
        <v>852</v>
      </c>
      <c r="B10" s="811">
        <v>1130</v>
      </c>
      <c r="C10" s="812"/>
      <c r="D10" s="812"/>
      <c r="E10" s="812"/>
      <c r="F10" s="813">
        <f t="shared" ref="F10:F17" si="4">D10/$D$26</f>
        <v>0</v>
      </c>
      <c r="G10" s="813">
        <f>C10/$C$26</f>
        <v>0</v>
      </c>
      <c r="H10" s="814">
        <f t="shared" si="1"/>
        <v>0</v>
      </c>
      <c r="I10" s="813">
        <f>G10-F10</f>
        <v>0</v>
      </c>
      <c r="J10" t="e">
        <f t="shared" si="2"/>
        <v>#DIV/0!</v>
      </c>
      <c r="K10" t="e">
        <f t="shared" si="3"/>
        <v>#DIV/0!</v>
      </c>
    </row>
    <row r="11" spans="1:11">
      <c r="A11" s="810" t="s">
        <v>853</v>
      </c>
      <c r="B11" s="811">
        <v>1140</v>
      </c>
      <c r="C11" s="812"/>
      <c r="D11" s="812"/>
      <c r="E11" s="812"/>
      <c r="F11" s="813">
        <f t="shared" si="4"/>
        <v>0</v>
      </c>
      <c r="G11" s="813">
        <f t="shared" si="0"/>
        <v>0</v>
      </c>
      <c r="H11" s="814">
        <f t="shared" si="1"/>
        <v>0</v>
      </c>
      <c r="I11" s="813">
        <f>G11-F11</f>
        <v>0</v>
      </c>
      <c r="J11" t="e">
        <f t="shared" si="2"/>
        <v>#DIV/0!</v>
      </c>
      <c r="K11" t="e">
        <f t="shared" si="3"/>
        <v>#DIV/0!</v>
      </c>
    </row>
    <row r="12" spans="1:11">
      <c r="A12" s="810" t="s">
        <v>854</v>
      </c>
      <c r="B12" s="811">
        <v>1150</v>
      </c>
      <c r="C12" s="812">
        <v>12191</v>
      </c>
      <c r="D12" s="812">
        <v>14142</v>
      </c>
      <c r="E12" s="812">
        <v>14053</v>
      </c>
      <c r="F12" s="813">
        <f t="shared" si="4"/>
        <v>0.55382807910710785</v>
      </c>
      <c r="G12" s="813">
        <f t="shared" si="0"/>
        <v>0.53589168754670535</v>
      </c>
      <c r="H12" s="814">
        <f t="shared" si="1"/>
        <v>-1951</v>
      </c>
      <c r="I12" s="813">
        <f t="shared" ref="I12:I26" si="5">G12-F12</f>
        <v>-1.7936391560402498E-2</v>
      </c>
      <c r="J12">
        <f t="shared" si="2"/>
        <v>-0.13795785603167868</v>
      </c>
      <c r="K12">
        <f t="shared" si="3"/>
        <v>-0.16003609219916332</v>
      </c>
    </row>
    <row r="13" spans="1:11">
      <c r="A13" s="810" t="s">
        <v>855</v>
      </c>
      <c r="B13" s="811">
        <v>1160</v>
      </c>
      <c r="C13" s="812"/>
      <c r="D13" s="812"/>
      <c r="E13" s="812"/>
      <c r="F13" s="813">
        <f t="shared" si="4"/>
        <v>0</v>
      </c>
      <c r="G13" s="813">
        <f t="shared" si="0"/>
        <v>0</v>
      </c>
      <c r="H13" s="814">
        <f t="shared" si="1"/>
        <v>0</v>
      </c>
      <c r="I13" s="813">
        <f t="shared" si="5"/>
        <v>0</v>
      </c>
      <c r="J13" t="e">
        <f t="shared" si="2"/>
        <v>#DIV/0!</v>
      </c>
      <c r="K13" t="e">
        <f t="shared" si="3"/>
        <v>#DIV/0!</v>
      </c>
    </row>
    <row r="14" spans="1:11">
      <c r="A14" s="810" t="s">
        <v>856</v>
      </c>
      <c r="B14" s="811">
        <v>1170</v>
      </c>
      <c r="C14" s="812"/>
      <c r="D14" s="812"/>
      <c r="E14" s="812"/>
      <c r="F14" s="813">
        <f t="shared" si="4"/>
        <v>0</v>
      </c>
      <c r="G14" s="813">
        <f t="shared" si="0"/>
        <v>0</v>
      </c>
      <c r="H14" s="814">
        <f t="shared" si="1"/>
        <v>0</v>
      </c>
      <c r="I14" s="813">
        <f t="shared" si="5"/>
        <v>0</v>
      </c>
      <c r="J14" t="e">
        <f t="shared" si="2"/>
        <v>#DIV/0!</v>
      </c>
      <c r="K14" t="e">
        <f t="shared" si="3"/>
        <v>#DIV/0!</v>
      </c>
    </row>
    <row r="15" spans="1:11">
      <c r="A15" s="810" t="s">
        <v>857</v>
      </c>
      <c r="B15" s="811">
        <v>1180</v>
      </c>
      <c r="C15" s="812"/>
      <c r="D15" s="812"/>
      <c r="E15" s="812"/>
      <c r="F15" s="813">
        <f t="shared" si="4"/>
        <v>0</v>
      </c>
      <c r="G15" s="813">
        <f t="shared" si="0"/>
        <v>0</v>
      </c>
      <c r="H15" s="814">
        <f t="shared" si="1"/>
        <v>0</v>
      </c>
      <c r="I15" s="813">
        <f t="shared" si="5"/>
        <v>0</v>
      </c>
      <c r="J15" t="e">
        <f t="shared" si="2"/>
        <v>#DIV/0!</v>
      </c>
      <c r="K15" t="e">
        <f t="shared" si="3"/>
        <v>#DIV/0!</v>
      </c>
    </row>
    <row r="16" spans="1:11">
      <c r="A16" s="810" t="s">
        <v>858</v>
      </c>
      <c r="B16" s="811">
        <v>1190</v>
      </c>
      <c r="C16" s="812"/>
      <c r="D16" s="812"/>
      <c r="E16" s="812"/>
      <c r="F16" s="813">
        <f t="shared" si="4"/>
        <v>0</v>
      </c>
      <c r="G16" s="813">
        <f t="shared" si="0"/>
        <v>0</v>
      </c>
      <c r="H16" s="814">
        <f t="shared" si="1"/>
        <v>0</v>
      </c>
      <c r="I16" s="813">
        <f t="shared" si="5"/>
        <v>0</v>
      </c>
      <c r="J16" t="e">
        <f t="shared" si="2"/>
        <v>#DIV/0!</v>
      </c>
      <c r="K16" t="e">
        <f t="shared" si="3"/>
        <v>#DIV/0!</v>
      </c>
    </row>
    <row r="17" spans="1:11">
      <c r="A17" s="815" t="s">
        <v>859</v>
      </c>
      <c r="B17" s="816">
        <v>1100</v>
      </c>
      <c r="C17" s="817">
        <f>SUM(C8:C16)</f>
        <v>12191</v>
      </c>
      <c r="D17" s="817">
        <f>SUM(D8:D16)</f>
        <v>14142</v>
      </c>
      <c r="E17" s="817">
        <f>SUM(E8:E16)</f>
        <v>14053</v>
      </c>
      <c r="F17" s="818">
        <f t="shared" si="4"/>
        <v>0.55382807910710785</v>
      </c>
      <c r="G17" s="818">
        <f t="shared" si="0"/>
        <v>0.53589168754670535</v>
      </c>
      <c r="H17" s="819">
        <f t="shared" si="1"/>
        <v>-1951</v>
      </c>
      <c r="I17" s="820">
        <f t="shared" si="5"/>
        <v>-1.7936391560402498E-2</v>
      </c>
      <c r="J17">
        <f t="shared" si="2"/>
        <v>-0.13795785603167868</v>
      </c>
      <c r="K17">
        <f t="shared" si="3"/>
        <v>-0.16003609219916332</v>
      </c>
    </row>
    <row r="18" spans="1:11">
      <c r="A18" s="821" t="s">
        <v>860</v>
      </c>
      <c r="B18" s="822"/>
      <c r="C18" s="823"/>
      <c r="D18" s="823"/>
      <c r="E18" s="823"/>
      <c r="F18" s="813"/>
      <c r="G18" s="813"/>
      <c r="H18" s="814"/>
      <c r="I18" s="813"/>
      <c r="J18" t="e">
        <f t="shared" si="2"/>
        <v>#DIV/0!</v>
      </c>
      <c r="K18" t="e">
        <f t="shared" si="3"/>
        <v>#DIV/0!</v>
      </c>
    </row>
    <row r="19" spans="1:11">
      <c r="A19" s="824" t="s">
        <v>861</v>
      </c>
      <c r="B19" s="811">
        <v>1210</v>
      </c>
      <c r="C19" s="812">
        <v>3635</v>
      </c>
      <c r="D19" s="812">
        <v>3856</v>
      </c>
      <c r="E19" s="812">
        <v>3776</v>
      </c>
      <c r="F19" s="813">
        <f t="shared" ref="F19:F26" si="6">D19/$D$26</f>
        <v>0.1510084198159389</v>
      </c>
      <c r="G19" s="813">
        <f t="shared" ref="G19:G26" si="7">C19/$C$26</f>
        <v>0.15978724339531408</v>
      </c>
      <c r="H19" s="814">
        <f t="shared" ref="H19:H26" si="8">C19-D19</f>
        <v>-221</v>
      </c>
      <c r="I19" s="813">
        <f t="shared" si="5"/>
        <v>8.7788235793751779E-3</v>
      </c>
      <c r="J19">
        <f t="shared" si="2"/>
        <v>-5.7313278008298753E-2</v>
      </c>
      <c r="K19">
        <f t="shared" si="3"/>
        <v>-6.0797799174690512E-2</v>
      </c>
    </row>
    <row r="20" spans="1:11" ht="30">
      <c r="A20" s="824" t="s">
        <v>862</v>
      </c>
      <c r="B20" s="811">
        <v>1220</v>
      </c>
      <c r="C20" s="812"/>
      <c r="D20" s="812"/>
      <c r="E20" s="812"/>
      <c r="F20" s="813">
        <f t="shared" si="6"/>
        <v>0</v>
      </c>
      <c r="G20" s="813">
        <f t="shared" si="7"/>
        <v>0</v>
      </c>
      <c r="H20" s="814">
        <f t="shared" si="8"/>
        <v>0</v>
      </c>
      <c r="I20" s="813">
        <f t="shared" si="5"/>
        <v>0</v>
      </c>
      <c r="J20" t="e">
        <f t="shared" si="2"/>
        <v>#DIV/0!</v>
      </c>
      <c r="K20" t="e">
        <f t="shared" si="3"/>
        <v>#DIV/0!</v>
      </c>
    </row>
    <row r="21" spans="1:11">
      <c r="A21" s="824" t="s">
        <v>863</v>
      </c>
      <c r="B21" s="811">
        <v>1230</v>
      </c>
      <c r="C21" s="812">
        <v>4646</v>
      </c>
      <c r="D21" s="812">
        <v>3022</v>
      </c>
      <c r="E21" s="812">
        <v>2434</v>
      </c>
      <c r="F21" s="813">
        <f t="shared" si="6"/>
        <v>0.11834736635989818</v>
      </c>
      <c r="G21" s="813">
        <f t="shared" si="7"/>
        <v>0.20422875730801354</v>
      </c>
      <c r="H21" s="814">
        <f t="shared" si="8"/>
        <v>1624</v>
      </c>
      <c r="I21" s="813">
        <f t="shared" si="5"/>
        <v>8.5881390948115366E-2</v>
      </c>
      <c r="J21">
        <f t="shared" si="2"/>
        <v>0.53739245532759761</v>
      </c>
      <c r="K21">
        <f t="shared" si="3"/>
        <v>0.34954799827808869</v>
      </c>
    </row>
    <row r="22" spans="1:11" ht="30">
      <c r="A22" s="824" t="s">
        <v>864</v>
      </c>
      <c r="B22" s="811">
        <v>1240</v>
      </c>
      <c r="C22" s="812"/>
      <c r="D22" s="812"/>
      <c r="E22" s="812"/>
      <c r="F22" s="813">
        <f t="shared" si="6"/>
        <v>0</v>
      </c>
      <c r="G22" s="813">
        <f t="shared" si="7"/>
        <v>0</v>
      </c>
      <c r="H22" s="814">
        <f t="shared" si="8"/>
        <v>0</v>
      </c>
      <c r="I22" s="813">
        <f t="shared" si="5"/>
        <v>0</v>
      </c>
      <c r="J22" t="e">
        <f t="shared" si="2"/>
        <v>#DIV/0!</v>
      </c>
      <c r="K22" t="e">
        <f t="shared" si="3"/>
        <v>#DIV/0!</v>
      </c>
    </row>
    <row r="23" spans="1:11">
      <c r="A23" s="824" t="s">
        <v>865</v>
      </c>
      <c r="B23" s="811">
        <v>1250</v>
      </c>
      <c r="C23" s="812">
        <v>2277</v>
      </c>
      <c r="D23" s="812">
        <v>4515</v>
      </c>
      <c r="E23" s="812">
        <v>4308</v>
      </c>
      <c r="F23" s="813">
        <f t="shared" si="6"/>
        <v>0.17681613471705501</v>
      </c>
      <c r="G23" s="813">
        <f t="shared" si="7"/>
        <v>0.10009231174996704</v>
      </c>
      <c r="H23" s="814">
        <f t="shared" si="8"/>
        <v>-2238</v>
      </c>
      <c r="I23" s="813">
        <f t="shared" si="5"/>
        <v>-7.6723822967087976E-2</v>
      </c>
      <c r="J23">
        <f t="shared" si="2"/>
        <v>-0.49568106312292359</v>
      </c>
      <c r="K23">
        <f t="shared" si="3"/>
        <v>-0.98287220026350464</v>
      </c>
    </row>
    <row r="24" spans="1:11">
      <c r="A24" s="824" t="s">
        <v>866</v>
      </c>
      <c r="B24" s="811">
        <v>1260</v>
      </c>
      <c r="C24" s="812"/>
      <c r="D24" s="812"/>
      <c r="E24" s="812"/>
      <c r="F24" s="813">
        <f t="shared" si="6"/>
        <v>0</v>
      </c>
      <c r="G24" s="813">
        <f t="shared" si="7"/>
        <v>0</v>
      </c>
      <c r="H24" s="814">
        <f t="shared" si="8"/>
        <v>0</v>
      </c>
      <c r="I24" s="813">
        <f t="shared" si="5"/>
        <v>0</v>
      </c>
      <c r="J24" t="e">
        <f t="shared" si="2"/>
        <v>#DIV/0!</v>
      </c>
      <c r="K24" t="e">
        <f t="shared" si="3"/>
        <v>#DIV/0!</v>
      </c>
    </row>
    <row r="25" spans="1:11">
      <c r="A25" s="815" t="s">
        <v>867</v>
      </c>
      <c r="B25" s="816">
        <v>1200</v>
      </c>
      <c r="C25" s="817">
        <f>SUM(C19:C24)</f>
        <v>10558</v>
      </c>
      <c r="D25" s="817">
        <f>SUM(D19:D24)</f>
        <v>11393</v>
      </c>
      <c r="E25" s="817">
        <f>SUM(E19:E24)</f>
        <v>10518</v>
      </c>
      <c r="F25" s="818">
        <f t="shared" si="6"/>
        <v>0.44617192089289209</v>
      </c>
      <c r="G25" s="818">
        <f t="shared" si="7"/>
        <v>0.46410831245329465</v>
      </c>
      <c r="H25" s="819">
        <f t="shared" si="8"/>
        <v>-835</v>
      </c>
      <c r="I25" s="820">
        <f t="shared" si="5"/>
        <v>1.7936391560402554E-2</v>
      </c>
      <c r="J25">
        <f t="shared" si="2"/>
        <v>-7.3290617045554285E-2</v>
      </c>
      <c r="K25">
        <f t="shared" si="3"/>
        <v>-7.9086948285660166E-2</v>
      </c>
    </row>
    <row r="26" spans="1:11" ht="19.5">
      <c r="A26" s="825" t="s">
        <v>868</v>
      </c>
      <c r="B26" s="826">
        <v>1600</v>
      </c>
      <c r="C26" s="827">
        <f>C17+C25</f>
        <v>22749</v>
      </c>
      <c r="D26" s="827">
        <f>D17+D25</f>
        <v>25535</v>
      </c>
      <c r="E26" s="827">
        <f>E17+E25</f>
        <v>24571</v>
      </c>
      <c r="F26" s="828">
        <f t="shared" si="6"/>
        <v>1</v>
      </c>
      <c r="G26" s="828">
        <f t="shared" si="7"/>
        <v>1</v>
      </c>
      <c r="H26" s="829">
        <f t="shared" si="8"/>
        <v>-2786</v>
      </c>
      <c r="I26" s="830">
        <f t="shared" si="5"/>
        <v>0</v>
      </c>
      <c r="J26">
        <f t="shared" si="2"/>
        <v>-0.10910514979439985</v>
      </c>
      <c r="K26">
        <f t="shared" si="3"/>
        <v>-0.12246692162292848</v>
      </c>
    </row>
    <row r="27" spans="1:11">
      <c r="B27" s="831"/>
      <c r="C27" s="832"/>
      <c r="D27" s="832"/>
      <c r="E27" s="832"/>
      <c r="F27" s="832"/>
      <c r="G27" s="832"/>
      <c r="H27" s="833"/>
      <c r="I27" s="832"/>
      <c r="J27" s="832"/>
      <c r="K27" s="832"/>
    </row>
    <row r="28" spans="1:11" ht="19.5">
      <c r="A28" s="834" t="s">
        <v>869</v>
      </c>
      <c r="B28" s="835"/>
      <c r="C28" s="836"/>
      <c r="D28" s="836"/>
      <c r="E28" s="836"/>
      <c r="F28" s="836"/>
      <c r="G28" s="836"/>
      <c r="H28" s="837"/>
      <c r="I28" s="836"/>
      <c r="J28" s="836"/>
      <c r="K28" s="838"/>
    </row>
    <row r="29" spans="1:11" ht="16.5">
      <c r="A29" s="808" t="s">
        <v>870</v>
      </c>
      <c r="B29" s="839"/>
      <c r="C29" s="809"/>
      <c r="D29" s="809"/>
      <c r="E29" s="809"/>
      <c r="F29" s="809"/>
      <c r="G29" s="809"/>
      <c r="H29" s="814"/>
      <c r="I29" s="809"/>
      <c r="J29" s="809"/>
      <c r="K29" s="809"/>
    </row>
    <row r="30" spans="1:11" ht="30">
      <c r="A30" s="840" t="s">
        <v>871</v>
      </c>
      <c r="B30" s="841">
        <v>1310</v>
      </c>
      <c r="C30" s="812"/>
      <c r="D30" s="812"/>
      <c r="E30" s="812"/>
      <c r="F30" s="813">
        <f t="shared" ref="F30:F36" si="9">D30/D$50</f>
        <v>0</v>
      </c>
      <c r="G30" s="813">
        <f t="shared" ref="G30:G50" si="10">C30/C$50</f>
        <v>0</v>
      </c>
      <c r="H30" s="814">
        <f t="shared" ref="H30:H36" si="11">C30-D30</f>
        <v>0</v>
      </c>
      <c r="I30" s="813">
        <f>G30-F30</f>
        <v>0</v>
      </c>
      <c r="J30" t="e">
        <f>H30/D30</f>
        <v>#DIV/0!</v>
      </c>
      <c r="K30" t="e">
        <f>H30/C30</f>
        <v>#DIV/0!</v>
      </c>
    </row>
    <row r="31" spans="1:11">
      <c r="A31" s="840" t="s">
        <v>872</v>
      </c>
      <c r="B31" s="841">
        <v>1320</v>
      </c>
      <c r="C31" s="812"/>
      <c r="D31" s="812"/>
      <c r="E31" s="812"/>
      <c r="F31" s="813">
        <f t="shared" si="9"/>
        <v>0</v>
      </c>
      <c r="G31" s="813">
        <f t="shared" si="10"/>
        <v>0</v>
      </c>
      <c r="H31" s="814">
        <f t="shared" si="11"/>
        <v>0</v>
      </c>
      <c r="I31" s="813">
        <f t="shared" ref="I31:I50" si="12">G31-F31</f>
        <v>0</v>
      </c>
      <c r="J31" t="e">
        <f t="shared" ref="J31:J50" si="13">H31/D31</f>
        <v>#DIV/0!</v>
      </c>
      <c r="K31" t="e">
        <f t="shared" ref="K31:K50" si="14">H31/C31</f>
        <v>#DIV/0!</v>
      </c>
    </row>
    <row r="32" spans="1:11">
      <c r="A32" s="840" t="s">
        <v>873</v>
      </c>
      <c r="B32" s="841">
        <v>1340</v>
      </c>
      <c r="C32" s="812"/>
      <c r="D32" s="812"/>
      <c r="E32" s="812"/>
      <c r="F32" s="813">
        <f t="shared" si="9"/>
        <v>0</v>
      </c>
      <c r="G32" s="813">
        <f t="shared" si="10"/>
        <v>0</v>
      </c>
      <c r="H32" s="814">
        <f t="shared" si="11"/>
        <v>0</v>
      </c>
      <c r="I32" s="813">
        <f t="shared" si="12"/>
        <v>0</v>
      </c>
      <c r="J32" t="e">
        <f t="shared" si="13"/>
        <v>#DIV/0!</v>
      </c>
      <c r="K32" t="e">
        <f t="shared" si="14"/>
        <v>#DIV/0!</v>
      </c>
    </row>
    <row r="33" spans="1:11">
      <c r="A33" s="840" t="s">
        <v>874</v>
      </c>
      <c r="B33" s="841">
        <v>1350</v>
      </c>
      <c r="C33" s="812">
        <v>1177</v>
      </c>
      <c r="D33" s="812">
        <v>1177</v>
      </c>
      <c r="E33" s="812">
        <v>1177</v>
      </c>
      <c r="F33" s="813">
        <f t="shared" si="9"/>
        <v>4.6093597023692971E-2</v>
      </c>
      <c r="G33" s="813">
        <f t="shared" si="10"/>
        <v>5.1738537957712424E-2</v>
      </c>
      <c r="H33" s="814">
        <f t="shared" si="11"/>
        <v>0</v>
      </c>
      <c r="I33" s="813">
        <f t="shared" si="12"/>
        <v>5.6449409340194531E-3</v>
      </c>
      <c r="J33">
        <f t="shared" si="13"/>
        <v>0</v>
      </c>
      <c r="K33">
        <f t="shared" si="14"/>
        <v>0</v>
      </c>
    </row>
    <row r="34" spans="1:11">
      <c r="A34" s="840" t="s">
        <v>875</v>
      </c>
      <c r="B34" s="841">
        <v>1360</v>
      </c>
      <c r="C34" s="812"/>
      <c r="D34" s="812"/>
      <c r="E34" s="812"/>
      <c r="F34" s="813">
        <f t="shared" si="9"/>
        <v>0</v>
      </c>
      <c r="G34" s="813">
        <f t="shared" si="10"/>
        <v>0</v>
      </c>
      <c r="H34" s="814">
        <f t="shared" si="11"/>
        <v>0</v>
      </c>
      <c r="I34" s="813">
        <f t="shared" si="12"/>
        <v>0</v>
      </c>
      <c r="J34" t="e">
        <f t="shared" si="13"/>
        <v>#DIV/0!</v>
      </c>
      <c r="K34" t="e">
        <f t="shared" si="14"/>
        <v>#DIV/0!</v>
      </c>
    </row>
    <row r="35" spans="1:11" ht="17.25" customHeight="1">
      <c r="A35" s="840" t="s">
        <v>876</v>
      </c>
      <c r="B35" s="841">
        <v>1370</v>
      </c>
      <c r="C35" s="812">
        <v>20432</v>
      </c>
      <c r="D35" s="812">
        <v>22031</v>
      </c>
      <c r="E35" s="812">
        <v>20250</v>
      </c>
      <c r="F35" s="813">
        <f t="shared" si="9"/>
        <v>0.86277658116310951</v>
      </c>
      <c r="G35" s="813">
        <f t="shared" si="10"/>
        <v>0.89814936920304189</v>
      </c>
      <c r="H35" s="814">
        <f t="shared" si="11"/>
        <v>-1599</v>
      </c>
      <c r="I35" s="813">
        <f t="shared" si="12"/>
        <v>3.5372788039932379E-2</v>
      </c>
      <c r="J35">
        <f t="shared" si="13"/>
        <v>-7.2579547001951794E-2</v>
      </c>
      <c r="K35">
        <f t="shared" si="14"/>
        <v>-7.8259592795614716E-2</v>
      </c>
    </row>
    <row r="36" spans="1:11">
      <c r="A36" s="842" t="s">
        <v>877</v>
      </c>
      <c r="B36" s="843">
        <v>1300</v>
      </c>
      <c r="C36" s="817">
        <f>SUM(C30:C35)</f>
        <v>21609</v>
      </c>
      <c r="D36" s="817">
        <f>SUM(D30:D35)</f>
        <v>23208</v>
      </c>
      <c r="E36" s="817">
        <f>SUM(E30:E35)</f>
        <v>21427</v>
      </c>
      <c r="F36" s="818">
        <f t="shared" si="9"/>
        <v>0.90887017818680238</v>
      </c>
      <c r="G36" s="818">
        <f t="shared" si="10"/>
        <v>0.94988790716075433</v>
      </c>
      <c r="H36" s="819">
        <f t="shared" si="11"/>
        <v>-1599</v>
      </c>
      <c r="I36" s="820">
        <f t="shared" si="12"/>
        <v>4.101772897395195E-2</v>
      </c>
      <c r="J36">
        <f t="shared" si="13"/>
        <v>-6.8898655635987585E-2</v>
      </c>
      <c r="K36">
        <f t="shared" si="14"/>
        <v>-7.3996945717062335E-2</v>
      </c>
    </row>
    <row r="37" spans="1:11" ht="18.75" customHeight="1">
      <c r="A37" s="844" t="s">
        <v>878</v>
      </c>
      <c r="B37" s="845"/>
      <c r="C37" s="823"/>
      <c r="D37" s="823"/>
      <c r="E37" s="823"/>
      <c r="F37" s="813"/>
      <c r="G37" s="813"/>
      <c r="H37" s="814"/>
      <c r="I37" s="813"/>
      <c r="J37" t="e">
        <f t="shared" si="13"/>
        <v>#DIV/0!</v>
      </c>
      <c r="K37" t="e">
        <f t="shared" si="14"/>
        <v>#DIV/0!</v>
      </c>
    </row>
    <row r="38" spans="1:11">
      <c r="A38" s="840" t="s">
        <v>879</v>
      </c>
      <c r="B38" s="841">
        <v>1410</v>
      </c>
      <c r="C38" s="812"/>
      <c r="D38" s="812"/>
      <c r="E38" s="812"/>
      <c r="F38" s="813">
        <f>D38/D$50</f>
        <v>0</v>
      </c>
      <c r="G38" s="813">
        <f t="shared" si="10"/>
        <v>0</v>
      </c>
      <c r="H38" s="814">
        <f>C38-D38</f>
        <v>0</v>
      </c>
      <c r="I38" s="813">
        <f t="shared" si="12"/>
        <v>0</v>
      </c>
      <c r="J38" t="e">
        <f t="shared" si="13"/>
        <v>#DIV/0!</v>
      </c>
      <c r="K38" t="e">
        <f t="shared" si="14"/>
        <v>#DIV/0!</v>
      </c>
    </row>
    <row r="39" spans="1:11">
      <c r="A39" s="840" t="s">
        <v>880</v>
      </c>
      <c r="B39" s="841">
        <v>1420</v>
      </c>
      <c r="C39" s="812"/>
      <c r="D39" s="812"/>
      <c r="E39" s="812"/>
      <c r="F39" s="813">
        <f>D39/D$50</f>
        <v>0</v>
      </c>
      <c r="G39" s="813">
        <f t="shared" si="10"/>
        <v>0</v>
      </c>
      <c r="H39" s="814">
        <f>C39-D39</f>
        <v>0</v>
      </c>
      <c r="I39" s="813">
        <f t="shared" si="12"/>
        <v>0</v>
      </c>
      <c r="J39" t="e">
        <f t="shared" si="13"/>
        <v>#DIV/0!</v>
      </c>
      <c r="K39" t="e">
        <f t="shared" si="14"/>
        <v>#DIV/0!</v>
      </c>
    </row>
    <row r="40" spans="1:11">
      <c r="A40" s="840" t="s">
        <v>881</v>
      </c>
      <c r="B40" s="841">
        <v>1430</v>
      </c>
      <c r="C40" s="812"/>
      <c r="D40" s="812"/>
      <c r="E40" s="812"/>
      <c r="F40" s="813">
        <f>D40/D$50</f>
        <v>0</v>
      </c>
      <c r="G40" s="813">
        <f t="shared" si="10"/>
        <v>0</v>
      </c>
      <c r="H40" s="814">
        <f>C40-D40</f>
        <v>0</v>
      </c>
      <c r="I40" s="813">
        <f t="shared" si="12"/>
        <v>0</v>
      </c>
      <c r="J40" t="e">
        <f t="shared" si="13"/>
        <v>#DIV/0!</v>
      </c>
      <c r="K40" t="e">
        <f t="shared" si="14"/>
        <v>#DIV/0!</v>
      </c>
    </row>
    <row r="41" spans="1:11">
      <c r="A41" s="840" t="s">
        <v>882</v>
      </c>
      <c r="B41" s="841">
        <v>1450</v>
      </c>
      <c r="C41" s="812"/>
      <c r="D41" s="812"/>
      <c r="E41" s="812"/>
      <c r="F41" s="813">
        <f>D41/D$50</f>
        <v>0</v>
      </c>
      <c r="G41" s="813">
        <f t="shared" si="10"/>
        <v>0</v>
      </c>
      <c r="H41" s="814">
        <f>C41-D41</f>
        <v>0</v>
      </c>
      <c r="I41" s="813">
        <f t="shared" si="12"/>
        <v>0</v>
      </c>
      <c r="J41" t="e">
        <f t="shared" si="13"/>
        <v>#DIV/0!</v>
      </c>
      <c r="K41" t="e">
        <f t="shared" si="14"/>
        <v>#DIV/0!</v>
      </c>
    </row>
    <row r="42" spans="1:11">
      <c r="A42" s="842" t="s">
        <v>883</v>
      </c>
      <c r="B42" s="843">
        <v>1400</v>
      </c>
      <c r="C42" s="817">
        <f>SUM(C38:C41)</f>
        <v>0</v>
      </c>
      <c r="D42" s="817">
        <f>SUM(D38:D41)</f>
        <v>0</v>
      </c>
      <c r="E42" s="817">
        <f>SUM(E38:E41)</f>
        <v>0</v>
      </c>
      <c r="F42" s="818">
        <f>D42/D$50</f>
        <v>0</v>
      </c>
      <c r="G42" s="818">
        <f t="shared" si="10"/>
        <v>0</v>
      </c>
      <c r="H42" s="819">
        <f>C42-D42</f>
        <v>0</v>
      </c>
      <c r="I42" s="820">
        <f t="shared" si="12"/>
        <v>0</v>
      </c>
      <c r="J42" t="e">
        <f t="shared" si="13"/>
        <v>#DIV/0!</v>
      </c>
      <c r="K42" t="e">
        <f t="shared" si="14"/>
        <v>#DIV/0!</v>
      </c>
    </row>
    <row r="43" spans="1:11" ht="16.5">
      <c r="A43" s="844" t="s">
        <v>884</v>
      </c>
      <c r="B43" s="845"/>
      <c r="C43" s="823"/>
      <c r="D43" s="823"/>
      <c r="E43" s="823"/>
      <c r="F43" s="813"/>
      <c r="G43" s="813"/>
      <c r="H43" s="814"/>
      <c r="I43" s="813"/>
      <c r="J43" t="e">
        <f t="shared" si="13"/>
        <v>#DIV/0!</v>
      </c>
      <c r="K43" t="e">
        <f t="shared" si="14"/>
        <v>#DIV/0!</v>
      </c>
    </row>
    <row r="44" spans="1:11">
      <c r="A44" s="840" t="s">
        <v>879</v>
      </c>
      <c r="B44" s="841">
        <v>1510</v>
      </c>
      <c r="C44" s="812"/>
      <c r="D44" s="812"/>
      <c r="E44" s="812"/>
      <c r="F44" s="813">
        <f t="shared" ref="F44:F50" si="15">D44/D$50</f>
        <v>0</v>
      </c>
      <c r="G44" s="813">
        <f t="shared" si="10"/>
        <v>0</v>
      </c>
      <c r="H44" s="814">
        <f t="shared" ref="H44:H50" si="16">C44-D44</f>
        <v>0</v>
      </c>
      <c r="I44" s="813">
        <f t="shared" si="12"/>
        <v>0</v>
      </c>
      <c r="J44" t="e">
        <f t="shared" si="13"/>
        <v>#DIV/0!</v>
      </c>
      <c r="K44" t="e">
        <f t="shared" si="14"/>
        <v>#DIV/0!</v>
      </c>
    </row>
    <row r="45" spans="1:11">
      <c r="A45" s="840" t="s">
        <v>885</v>
      </c>
      <c r="B45" s="841">
        <v>1520</v>
      </c>
      <c r="C45" s="812">
        <v>1140</v>
      </c>
      <c r="D45" s="812">
        <v>2327</v>
      </c>
      <c r="E45" s="812">
        <v>3144</v>
      </c>
      <c r="F45" s="813">
        <f t="shared" si="15"/>
        <v>9.1129821813197578E-2</v>
      </c>
      <c r="G45" s="813">
        <f t="shared" si="10"/>
        <v>5.0112092839245684E-2</v>
      </c>
      <c r="H45" s="814">
        <f t="shared" si="16"/>
        <v>-1187</v>
      </c>
      <c r="I45" s="813">
        <f t="shared" si="12"/>
        <v>-4.1017728973951895E-2</v>
      </c>
      <c r="J45">
        <f t="shared" si="13"/>
        <v>-0.51009883970777825</v>
      </c>
      <c r="K45">
        <f t="shared" si="14"/>
        <v>-1.0412280701754386</v>
      </c>
    </row>
    <row r="46" spans="1:11">
      <c r="A46" s="840" t="s">
        <v>886</v>
      </c>
      <c r="B46" s="841">
        <v>1530</v>
      </c>
      <c r="C46" s="812"/>
      <c r="D46" s="812"/>
      <c r="E46" s="812"/>
      <c r="F46" s="813">
        <f t="shared" si="15"/>
        <v>0</v>
      </c>
      <c r="G46" s="813">
        <f t="shared" si="10"/>
        <v>0</v>
      </c>
      <c r="H46" s="814">
        <f t="shared" si="16"/>
        <v>0</v>
      </c>
      <c r="I46" s="813">
        <f t="shared" si="12"/>
        <v>0</v>
      </c>
      <c r="J46" t="e">
        <f t="shared" si="13"/>
        <v>#DIV/0!</v>
      </c>
      <c r="K46" t="e">
        <f t="shared" si="14"/>
        <v>#DIV/0!</v>
      </c>
    </row>
    <row r="47" spans="1:11">
      <c r="A47" s="840" t="s">
        <v>881</v>
      </c>
      <c r="B47" s="841">
        <v>1540</v>
      </c>
      <c r="C47" s="812"/>
      <c r="D47" s="812"/>
      <c r="E47" s="812"/>
      <c r="F47" s="813">
        <f t="shared" si="15"/>
        <v>0</v>
      </c>
      <c r="G47" s="813">
        <f t="shared" si="10"/>
        <v>0</v>
      </c>
      <c r="H47" s="814">
        <f t="shared" si="16"/>
        <v>0</v>
      </c>
      <c r="I47" s="813">
        <f t="shared" si="12"/>
        <v>0</v>
      </c>
      <c r="J47" t="e">
        <f t="shared" si="13"/>
        <v>#DIV/0!</v>
      </c>
      <c r="K47" t="e">
        <f t="shared" si="14"/>
        <v>#DIV/0!</v>
      </c>
    </row>
    <row r="48" spans="1:11">
      <c r="A48" s="840" t="s">
        <v>882</v>
      </c>
      <c r="B48" s="841">
        <v>1550</v>
      </c>
      <c r="C48" s="812"/>
      <c r="D48" s="812"/>
      <c r="E48" s="812"/>
      <c r="F48" s="813">
        <f t="shared" si="15"/>
        <v>0</v>
      </c>
      <c r="G48" s="813">
        <f t="shared" si="10"/>
        <v>0</v>
      </c>
      <c r="H48" s="814">
        <f t="shared" si="16"/>
        <v>0</v>
      </c>
      <c r="I48" s="813">
        <f t="shared" si="12"/>
        <v>0</v>
      </c>
      <c r="J48" t="e">
        <f t="shared" si="13"/>
        <v>#DIV/0!</v>
      </c>
      <c r="K48" t="e">
        <f t="shared" si="14"/>
        <v>#DIV/0!</v>
      </c>
    </row>
    <row r="49" spans="1:11">
      <c r="A49" s="815" t="s">
        <v>887</v>
      </c>
      <c r="B49" s="816">
        <v>1500</v>
      </c>
      <c r="C49" s="817">
        <f>SUM(C44:C48)</f>
        <v>1140</v>
      </c>
      <c r="D49" s="817">
        <f>SUM(D44:D48)</f>
        <v>2327</v>
      </c>
      <c r="E49" s="817">
        <f>SUM(E44:E48)</f>
        <v>3144</v>
      </c>
      <c r="F49" s="818">
        <f t="shared" si="15"/>
        <v>9.1129821813197578E-2</v>
      </c>
      <c r="G49" s="818">
        <f t="shared" si="10"/>
        <v>5.0112092839245684E-2</v>
      </c>
      <c r="H49" s="819">
        <f t="shared" si="16"/>
        <v>-1187</v>
      </c>
      <c r="I49" s="820">
        <f t="shared" si="12"/>
        <v>-4.1017728973951895E-2</v>
      </c>
      <c r="J49">
        <f t="shared" si="13"/>
        <v>-0.51009883970777825</v>
      </c>
      <c r="K49">
        <f t="shared" si="14"/>
        <v>-1.0412280701754386</v>
      </c>
    </row>
    <row r="50" spans="1:11" ht="19.5">
      <c r="A50" s="825" t="s">
        <v>868</v>
      </c>
      <c r="B50" s="826">
        <v>1700</v>
      </c>
      <c r="C50" s="827">
        <f>C36+C42+C49</f>
        <v>22749</v>
      </c>
      <c r="D50" s="827">
        <f>D36+D42+D49</f>
        <v>25535</v>
      </c>
      <c r="E50" s="827">
        <f>E36+E42+E49</f>
        <v>24571</v>
      </c>
      <c r="F50" s="828">
        <f t="shared" si="15"/>
        <v>1</v>
      </c>
      <c r="G50" s="828">
        <f t="shared" si="10"/>
        <v>1</v>
      </c>
      <c r="H50" s="829">
        <f t="shared" si="16"/>
        <v>-2786</v>
      </c>
      <c r="I50" s="830">
        <f t="shared" si="12"/>
        <v>0</v>
      </c>
      <c r="J50">
        <f t="shared" si="13"/>
        <v>-0.10910514979439985</v>
      </c>
      <c r="K50">
        <f t="shared" si="14"/>
        <v>-0.12246692162292848</v>
      </c>
    </row>
  </sheetData>
  <mergeCells count="4">
    <mergeCell ref="A1:J1"/>
    <mergeCell ref="A2:J2"/>
    <mergeCell ref="A4:A5"/>
    <mergeCell ref="H4:K4"/>
  </mergeCells>
  <conditionalFormatting sqref="C26:E26">
    <cfRule type="cellIs" dxfId="7" priority="4" operator="notEqual">
      <formula>C$50</formula>
    </cfRule>
  </conditionalFormatting>
  <conditionalFormatting sqref="C50:E50">
    <cfRule type="cellIs" dxfId="6" priority="3" operator="notEqual">
      <formula>C$26</formula>
    </cfRule>
  </conditionalFormatting>
  <conditionalFormatting sqref="H26">
    <cfRule type="cellIs" dxfId="5" priority="2" operator="notEqual">
      <formula>H$50</formula>
    </cfRule>
  </conditionalFormatting>
  <conditionalFormatting sqref="H50">
    <cfRule type="cellIs" dxfId="4" priority="1" operator="notEqual">
      <formula>H$26</formula>
    </cfRule>
  </conditionalFormatting>
  <pageMargins left="0.70866141732283472" right="0.70866141732283472" top="0.44" bottom="0.38" header="0.31496062992125984" footer="0.31496062992125984"/>
  <pageSetup paperSize="9" scale="64" orientation="landscape" blackAndWhite="1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H22"/>
  <sheetViews>
    <sheetView workbookViewId="0">
      <selection activeCell="D22" sqref="D22"/>
    </sheetView>
  </sheetViews>
  <sheetFormatPr defaultRowHeight="15"/>
  <cols>
    <col min="1" max="1" width="45.5703125" style="798" customWidth="1"/>
    <col min="2" max="2" width="6.5703125" style="798" customWidth="1"/>
    <col min="3" max="3" width="14.7109375" style="798" customWidth="1"/>
    <col min="4" max="4" width="17" style="798" customWidth="1"/>
    <col min="5" max="5" width="13.7109375" style="798" customWidth="1"/>
    <col min="6" max="6" width="15.140625" style="798" customWidth="1"/>
    <col min="7" max="8" width="11.42578125" style="798" customWidth="1"/>
    <col min="9" max="16384" width="9.140625" style="798"/>
  </cols>
  <sheetData>
    <row r="1" spans="1:8">
      <c r="A1" s="1654" t="str">
        <f>'Форма 1'!A1:J1</f>
        <v>МУ МПЖКХ Гусь-Железный</v>
      </c>
      <c r="B1" s="1654"/>
      <c r="C1" s="1654"/>
      <c r="D1" s="1654"/>
      <c r="E1" s="1654"/>
      <c r="F1" s="1654"/>
      <c r="G1" s="1654"/>
      <c r="H1" s="1654"/>
    </row>
    <row r="2" spans="1:8">
      <c r="A2" s="1654" t="s">
        <v>1472</v>
      </c>
      <c r="B2" s="1654"/>
      <c r="C2" s="1654"/>
      <c r="D2" s="1654"/>
      <c r="E2" s="1654"/>
      <c r="F2" s="1654"/>
      <c r="G2" s="1654"/>
      <c r="H2" s="1654"/>
    </row>
    <row r="3" spans="1:8">
      <c r="A3" s="846"/>
      <c r="B3" s="846"/>
      <c r="C3" s="846"/>
      <c r="D3" s="846"/>
      <c r="E3" s="846"/>
      <c r="F3" s="846"/>
      <c r="G3" s="846"/>
      <c r="H3" s="846" t="s">
        <v>292</v>
      </c>
    </row>
    <row r="4" spans="1:8" ht="50.25" customHeight="1">
      <c r="A4" s="847" t="s">
        <v>839</v>
      </c>
      <c r="B4" s="848" t="s">
        <v>841</v>
      </c>
      <c r="C4" s="849">
        <v>2019</v>
      </c>
      <c r="D4" s="849">
        <v>2018</v>
      </c>
      <c r="E4" s="850" t="s">
        <v>888</v>
      </c>
      <c r="F4" s="850" t="s">
        <v>889</v>
      </c>
      <c r="G4" s="850" t="s">
        <v>983</v>
      </c>
      <c r="H4" s="850" t="s">
        <v>984</v>
      </c>
    </row>
    <row r="5" spans="1:8">
      <c r="A5" s="802" t="s">
        <v>890</v>
      </c>
      <c r="B5" s="802">
        <v>2110</v>
      </c>
      <c r="C5" s="851">
        <v>61463</v>
      </c>
      <c r="D5" s="851">
        <v>65525</v>
      </c>
      <c r="E5" s="852">
        <f t="shared" ref="E5:E22" si="0">C5-D5</f>
        <v>-4062</v>
      </c>
      <c r="F5" s="853">
        <f>IF(D5&gt;0,E5/D5, " ")</f>
        <v>-6.1991606257153761E-2</v>
      </c>
      <c r="G5" s="854">
        <f>C5/$C$5</f>
        <v>1</v>
      </c>
      <c r="H5" s="854">
        <f>D5/$D$5</f>
        <v>1</v>
      </c>
    </row>
    <row r="6" spans="1:8">
      <c r="A6" s="802" t="s">
        <v>891</v>
      </c>
      <c r="B6" s="802">
        <v>2120</v>
      </c>
      <c r="C6" s="851">
        <v>59867</v>
      </c>
      <c r="D6" s="851">
        <v>62232</v>
      </c>
      <c r="E6" s="852">
        <f t="shared" si="0"/>
        <v>-2365</v>
      </c>
      <c r="F6" s="853">
        <f t="shared" ref="F6:F22" si="1">IF(D6&gt;0,E6/D6, " ")</f>
        <v>-3.8002956678236277E-2</v>
      </c>
      <c r="G6" s="854">
        <f t="shared" ref="G6:G22" si="2">C6/$C$5</f>
        <v>0.97403315816019398</v>
      </c>
      <c r="H6" s="854">
        <f>D6/$D$5</f>
        <v>0.94974437237695541</v>
      </c>
    </row>
    <row r="7" spans="1:8">
      <c r="A7" s="821" t="s">
        <v>892</v>
      </c>
      <c r="B7" s="821">
        <v>2100</v>
      </c>
      <c r="C7" s="855">
        <f>C5-C6</f>
        <v>1596</v>
      </c>
      <c r="D7" s="855">
        <f>D5-D6</f>
        <v>3293</v>
      </c>
      <c r="E7" s="856">
        <f t="shared" si="0"/>
        <v>-1697</v>
      </c>
      <c r="F7" s="857">
        <f t="shared" si="1"/>
        <v>-0.51533556027938054</v>
      </c>
      <c r="G7" s="858">
        <f t="shared" si="2"/>
        <v>2.5966841839806062E-2</v>
      </c>
      <c r="H7" s="858">
        <f t="shared" ref="H7:H22" si="3">D7/$D$5</f>
        <v>5.0255627623044641E-2</v>
      </c>
    </row>
    <row r="8" spans="1:8">
      <c r="A8" s="802" t="s">
        <v>893</v>
      </c>
      <c r="B8" s="802">
        <v>2210</v>
      </c>
      <c r="C8" s="851"/>
      <c r="D8" s="851"/>
      <c r="E8" s="852">
        <f t="shared" si="0"/>
        <v>0</v>
      </c>
      <c r="F8" s="853" t="str">
        <f t="shared" si="1"/>
        <v xml:space="preserve"> </v>
      </c>
      <c r="G8" s="854">
        <f t="shared" si="2"/>
        <v>0</v>
      </c>
      <c r="H8" s="854">
        <f t="shared" si="3"/>
        <v>0</v>
      </c>
    </row>
    <row r="9" spans="1:8">
      <c r="A9" s="802" t="s">
        <v>894</v>
      </c>
      <c r="B9" s="802">
        <v>2220</v>
      </c>
      <c r="C9" s="851"/>
      <c r="D9" s="851"/>
      <c r="E9" s="852">
        <f t="shared" si="0"/>
        <v>0</v>
      </c>
      <c r="F9" s="853" t="str">
        <f t="shared" si="1"/>
        <v xml:space="preserve"> </v>
      </c>
      <c r="G9" s="854">
        <f t="shared" si="2"/>
        <v>0</v>
      </c>
      <c r="H9" s="854">
        <f t="shared" si="3"/>
        <v>0</v>
      </c>
    </row>
    <row r="10" spans="1:8">
      <c r="A10" s="821" t="s">
        <v>801</v>
      </c>
      <c r="B10" s="821">
        <v>2200</v>
      </c>
      <c r="C10" s="855">
        <f>C7-SUM(C8:C9)</f>
        <v>1596</v>
      </c>
      <c r="D10" s="855">
        <f>D7-SUM(D8:D9)</f>
        <v>3293</v>
      </c>
      <c r="E10" s="856">
        <f t="shared" si="0"/>
        <v>-1697</v>
      </c>
      <c r="F10" s="857">
        <f t="shared" si="1"/>
        <v>-0.51533556027938054</v>
      </c>
      <c r="G10" s="858">
        <f t="shared" si="2"/>
        <v>2.5966841839806062E-2</v>
      </c>
      <c r="H10" s="858">
        <f t="shared" si="3"/>
        <v>5.0255627623044641E-2</v>
      </c>
    </row>
    <row r="11" spans="1:8">
      <c r="A11" s="802" t="s">
        <v>895</v>
      </c>
      <c r="B11" s="802">
        <v>2310</v>
      </c>
      <c r="C11" s="851"/>
      <c r="D11" s="851"/>
      <c r="E11" s="852">
        <f t="shared" si="0"/>
        <v>0</v>
      </c>
      <c r="F11" s="853" t="str">
        <f t="shared" si="1"/>
        <v xml:space="preserve"> </v>
      </c>
      <c r="G11" s="854">
        <f t="shared" si="2"/>
        <v>0</v>
      </c>
      <c r="H11" s="854">
        <f t="shared" si="3"/>
        <v>0</v>
      </c>
    </row>
    <row r="12" spans="1:8">
      <c r="A12" s="802" t="s">
        <v>896</v>
      </c>
      <c r="B12" s="802">
        <v>2320</v>
      </c>
      <c r="C12" s="851"/>
      <c r="D12" s="851"/>
      <c r="E12" s="852">
        <f t="shared" si="0"/>
        <v>0</v>
      </c>
      <c r="F12" s="853" t="str">
        <f t="shared" si="1"/>
        <v xml:space="preserve"> </v>
      </c>
      <c r="G12" s="854">
        <f t="shared" si="2"/>
        <v>0</v>
      </c>
      <c r="H12" s="854">
        <f t="shared" si="3"/>
        <v>0</v>
      </c>
    </row>
    <row r="13" spans="1:8">
      <c r="A13" s="802" t="s">
        <v>897</v>
      </c>
      <c r="B13" s="802">
        <v>2330</v>
      </c>
      <c r="C13" s="851"/>
      <c r="D13" s="851"/>
      <c r="E13" s="852">
        <f t="shared" si="0"/>
        <v>0</v>
      </c>
      <c r="F13" s="853" t="str">
        <f>IF(D13&gt;0,E13/D13, " ")</f>
        <v xml:space="preserve"> </v>
      </c>
      <c r="G13" s="854">
        <f>C13/$C$5</f>
        <v>0</v>
      </c>
      <c r="H13" s="854">
        <f>D13/$D$5</f>
        <v>0</v>
      </c>
    </row>
    <row r="14" spans="1:8">
      <c r="A14" s="802" t="s">
        <v>898</v>
      </c>
      <c r="B14" s="802">
        <v>2340</v>
      </c>
      <c r="C14" s="851">
        <v>12</v>
      </c>
      <c r="D14" s="851">
        <v>4</v>
      </c>
      <c r="E14" s="852">
        <f t="shared" si="0"/>
        <v>8</v>
      </c>
      <c r="F14" s="853">
        <f t="shared" si="1"/>
        <v>2</v>
      </c>
      <c r="G14" s="854">
        <f t="shared" si="2"/>
        <v>1.9523941232936888E-4</v>
      </c>
      <c r="H14" s="854">
        <f t="shared" si="3"/>
        <v>6.104540251812286E-5</v>
      </c>
    </row>
    <row r="15" spans="1:8">
      <c r="A15" s="802" t="s">
        <v>899</v>
      </c>
      <c r="B15" s="802">
        <v>2350</v>
      </c>
      <c r="C15" s="851">
        <v>182</v>
      </c>
      <c r="D15" s="851">
        <v>489</v>
      </c>
      <c r="E15" s="852">
        <f t="shared" si="0"/>
        <v>-307</v>
      </c>
      <c r="F15" s="853">
        <f t="shared" si="1"/>
        <v>-0.6278118609406953</v>
      </c>
      <c r="G15" s="854">
        <f t="shared" si="2"/>
        <v>2.9611310869954283E-3</v>
      </c>
      <c r="H15" s="854">
        <f t="shared" si="3"/>
        <v>7.4628004578405193E-3</v>
      </c>
    </row>
    <row r="16" spans="1:8">
      <c r="A16" s="821" t="s">
        <v>900</v>
      </c>
      <c r="B16" s="821">
        <v>2300</v>
      </c>
      <c r="C16" s="855">
        <f>C10+C11+C12+C14-C13-C15</f>
        <v>1426</v>
      </c>
      <c r="D16" s="855">
        <f>D10+D11+D12+D14-D13-D15</f>
        <v>2808</v>
      </c>
      <c r="E16" s="856">
        <f t="shared" si="0"/>
        <v>-1382</v>
      </c>
      <c r="F16" s="857">
        <f t="shared" si="1"/>
        <v>-0.49216524216524216</v>
      </c>
      <c r="G16" s="858">
        <f t="shared" si="2"/>
        <v>2.3200950165140004E-2</v>
      </c>
      <c r="H16" s="858">
        <f t="shared" si="3"/>
        <v>4.2853872567722245E-2</v>
      </c>
    </row>
    <row r="17" spans="1:8">
      <c r="A17" s="802" t="s">
        <v>901</v>
      </c>
      <c r="B17" s="802">
        <v>2410</v>
      </c>
      <c r="C17" s="859"/>
      <c r="D17" s="859"/>
      <c r="E17" s="860">
        <f t="shared" si="0"/>
        <v>0</v>
      </c>
      <c r="F17" s="853" t="str">
        <f t="shared" si="1"/>
        <v xml:space="preserve"> </v>
      </c>
      <c r="G17" s="861">
        <f t="shared" si="2"/>
        <v>0</v>
      </c>
      <c r="H17" s="861">
        <f t="shared" si="3"/>
        <v>0</v>
      </c>
    </row>
    <row r="18" spans="1:8" ht="26.25">
      <c r="A18" s="862" t="s">
        <v>902</v>
      </c>
      <c r="B18" s="862">
        <v>2421</v>
      </c>
      <c r="C18" s="863"/>
      <c r="D18" s="863"/>
      <c r="E18" s="864">
        <f t="shared" si="0"/>
        <v>0</v>
      </c>
      <c r="F18" s="865" t="str">
        <f>IF(D18&gt;0,E18/D18, " ")</f>
        <v xml:space="preserve"> </v>
      </c>
      <c r="G18" s="866">
        <f>C18/$C$5</f>
        <v>0</v>
      </c>
      <c r="H18" s="866">
        <f>D18/$D$5</f>
        <v>0</v>
      </c>
    </row>
    <row r="19" spans="1:8">
      <c r="A19" s="802" t="s">
        <v>903</v>
      </c>
      <c r="B19" s="802">
        <v>2430</v>
      </c>
      <c r="C19" s="867"/>
      <c r="D19" s="867"/>
      <c r="E19" s="860">
        <f t="shared" si="0"/>
        <v>0</v>
      </c>
      <c r="F19" s="853" t="str">
        <f>IF(D19&gt;0,E19/D19, " ")</f>
        <v xml:space="preserve"> </v>
      </c>
      <c r="G19" s="861">
        <f>C19/$C$5</f>
        <v>0</v>
      </c>
      <c r="H19" s="861">
        <f>D19/$D$5</f>
        <v>0</v>
      </c>
    </row>
    <row r="20" spans="1:8">
      <c r="A20" s="802" t="s">
        <v>904</v>
      </c>
      <c r="B20" s="802">
        <v>2450</v>
      </c>
      <c r="C20" s="867"/>
      <c r="D20" s="867"/>
      <c r="E20" s="860">
        <f t="shared" si="0"/>
        <v>0</v>
      </c>
      <c r="F20" s="853" t="str">
        <f>IF(D20&gt;0,E20/D20, " ")</f>
        <v xml:space="preserve"> </v>
      </c>
      <c r="G20" s="861">
        <f>C20/$C$5</f>
        <v>0</v>
      </c>
      <c r="H20" s="861">
        <f>D20/$D$5</f>
        <v>0</v>
      </c>
    </row>
    <row r="21" spans="1:8">
      <c r="A21" s="802" t="s">
        <v>905</v>
      </c>
      <c r="B21" s="802">
        <v>2460</v>
      </c>
      <c r="C21" s="867">
        <v>-1625</v>
      </c>
      <c r="D21" s="867">
        <v>-1727</v>
      </c>
      <c r="E21" s="860">
        <f t="shared" si="0"/>
        <v>102</v>
      </c>
      <c r="F21" s="853" t="str">
        <f>IF(D21&gt;0,E21/D21, " ")</f>
        <v xml:space="preserve"> </v>
      </c>
      <c r="G21" s="861">
        <f>C21/$C$5</f>
        <v>-2.6438670419602038E-2</v>
      </c>
      <c r="H21" s="861">
        <f>D21/$D$5</f>
        <v>-2.6356352537199541E-2</v>
      </c>
    </row>
    <row r="22" spans="1:8">
      <c r="A22" s="815" t="s">
        <v>906</v>
      </c>
      <c r="B22" s="815">
        <v>2400</v>
      </c>
      <c r="C22" s="868">
        <f>C16-C17+C19+C20+C21</f>
        <v>-199</v>
      </c>
      <c r="D22" s="868">
        <f>D16-D17+D19+D20+D21</f>
        <v>1081</v>
      </c>
      <c r="E22" s="869">
        <f t="shared" si="0"/>
        <v>-1280</v>
      </c>
      <c r="F22" s="857">
        <f t="shared" si="1"/>
        <v>-1.1840888066604995</v>
      </c>
      <c r="G22" s="870">
        <f t="shared" si="2"/>
        <v>-3.2377202544620343E-3</v>
      </c>
      <c r="H22" s="870">
        <f t="shared" si="3"/>
        <v>1.6497520030522701E-2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98" orientation="landscape" blackAndWhite="1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V130"/>
  <sheetViews>
    <sheetView topLeftCell="A7" workbookViewId="0"/>
  </sheetViews>
  <sheetFormatPr defaultRowHeight="12.75"/>
  <cols>
    <col min="2" max="2" width="68" customWidth="1"/>
    <col min="6" max="11" width="9.140625" customWidth="1"/>
    <col min="13" max="18" width="0" hidden="1" customWidth="1"/>
  </cols>
  <sheetData>
    <row r="1" spans="1:22">
      <c r="B1" t="s">
        <v>985</v>
      </c>
    </row>
    <row r="2" spans="1:22">
      <c r="B2" s="108"/>
      <c r="C2" s="108"/>
      <c r="D2" s="10"/>
      <c r="E2" s="10"/>
      <c r="F2" s="10"/>
      <c r="G2" s="10"/>
      <c r="H2" s="10"/>
    </row>
    <row r="3" spans="1:22">
      <c r="A3" t="s">
        <v>247</v>
      </c>
      <c r="B3" t="s">
        <v>1030</v>
      </c>
      <c r="C3" t="str">
        <f>'Реквизиты организации'!C7:G7</f>
        <v>Муниципальное унитарное многоотраслевое предприятие жилищно-коммунального хозяйства Гусь-Железный</v>
      </c>
    </row>
    <row r="4" spans="1:22">
      <c r="A4" t="s">
        <v>243</v>
      </c>
      <c r="B4" t="s">
        <v>1031</v>
      </c>
    </row>
    <row r="5" spans="1:22" ht="13.5" customHeight="1" thickBot="1"/>
    <row r="6" spans="1:22" s="895" customFormat="1" ht="43.5" customHeight="1" thickBot="1">
      <c r="A6" s="888" t="s">
        <v>241</v>
      </c>
      <c r="B6" s="889" t="s">
        <v>653</v>
      </c>
      <c r="C6" s="890" t="s">
        <v>267</v>
      </c>
      <c r="D6" s="891" t="s">
        <v>1034</v>
      </c>
      <c r="E6" s="892" t="s">
        <v>1035</v>
      </c>
      <c r="F6" s="893" t="s">
        <v>1036</v>
      </c>
      <c r="G6" s="893" t="s">
        <v>1037</v>
      </c>
      <c r="H6" s="893" t="s">
        <v>1038</v>
      </c>
      <c r="I6" s="893" t="s">
        <v>1109</v>
      </c>
      <c r="J6" s="893" t="s">
        <v>1039</v>
      </c>
      <c r="K6" s="893" t="s">
        <v>1040</v>
      </c>
      <c r="L6" s="892" t="s">
        <v>1041</v>
      </c>
      <c r="M6" s="893" t="s">
        <v>1042</v>
      </c>
      <c r="N6" s="893" t="s">
        <v>1043</v>
      </c>
      <c r="O6" s="893" t="s">
        <v>1044</v>
      </c>
      <c r="P6" s="893" t="s">
        <v>1045</v>
      </c>
      <c r="Q6" s="893" t="s">
        <v>1046</v>
      </c>
      <c r="R6" s="893" t="s">
        <v>1047</v>
      </c>
      <c r="S6" s="894" t="s">
        <v>1048</v>
      </c>
      <c r="V6" s="896" t="s">
        <v>1110</v>
      </c>
    </row>
    <row r="7" spans="1:22" ht="13.5" thickBot="1">
      <c r="B7" t="s">
        <v>654</v>
      </c>
    </row>
    <row r="8" spans="1:22" s="895" customFormat="1">
      <c r="A8" s="899">
        <v>1</v>
      </c>
      <c r="B8" s="900" t="s">
        <v>655</v>
      </c>
      <c r="C8" s="901" t="s">
        <v>587</v>
      </c>
      <c r="D8" s="902">
        <f>D9+D13</f>
        <v>28.701000000000001</v>
      </c>
      <c r="E8" s="903">
        <f>L8+S8</f>
        <v>28.707000000000001</v>
      </c>
      <c r="F8" s="904">
        <f t="shared" ref="F8:K8" si="0">F9+F13</f>
        <v>2.6659999999999999</v>
      </c>
      <c r="G8" s="904">
        <f t="shared" si="0"/>
        <v>2.6059999999999999</v>
      </c>
      <c r="H8" s="904">
        <f t="shared" si="0"/>
        <v>2.488</v>
      </c>
      <c r="I8" s="904">
        <f t="shared" si="0"/>
        <v>2.2749999999999999</v>
      </c>
      <c r="J8" s="904">
        <f t="shared" si="0"/>
        <v>2.153</v>
      </c>
      <c r="K8" s="904">
        <f t="shared" si="0"/>
        <v>2.2650000000000001</v>
      </c>
      <c r="L8" s="905">
        <f>SUM(F8:K8)</f>
        <v>14.453000000000001</v>
      </c>
      <c r="M8" s="904">
        <f t="shared" ref="M8:R8" si="1">M9+M13</f>
        <v>2.036</v>
      </c>
      <c r="N8" s="904">
        <f t="shared" si="1"/>
        <v>2.1779999999999999</v>
      </c>
      <c r="O8" s="904">
        <f t="shared" si="1"/>
        <v>2.1259999999999999</v>
      </c>
      <c r="P8" s="904">
        <f t="shared" si="1"/>
        <v>2.5190000000000001</v>
      </c>
      <c r="Q8" s="904">
        <f t="shared" si="1"/>
        <v>2.6259999999999999</v>
      </c>
      <c r="R8" s="904">
        <f t="shared" si="1"/>
        <v>2.7690000000000001</v>
      </c>
      <c r="S8" s="906">
        <f>SUM(M8:R8)</f>
        <v>14.254</v>
      </c>
      <c r="V8" s="896" t="str">
        <f>IF(SUM(F8:K8,M8:R8)=E8,"Ок","Ошибка")</f>
        <v>Ок</v>
      </c>
    </row>
    <row r="9" spans="1:22" s="895" customFormat="1">
      <c r="A9" s="907">
        <v>2</v>
      </c>
      <c r="B9" s="908" t="s">
        <v>656</v>
      </c>
      <c r="C9" s="909" t="s">
        <v>587</v>
      </c>
      <c r="D9" s="910">
        <f>D10+D11</f>
        <v>6.33</v>
      </c>
      <c r="E9" s="911">
        <f>L9+S9</f>
        <v>5.6400000000000006</v>
      </c>
      <c r="F9" s="912">
        <f t="shared" ref="F9:K9" si="2">F10+F11</f>
        <v>0.52400000000000002</v>
      </c>
      <c r="G9" s="912">
        <f t="shared" si="2"/>
        <v>0.51200000000000001</v>
      </c>
      <c r="H9" s="912">
        <f t="shared" si="2"/>
        <v>0.48899999999999999</v>
      </c>
      <c r="I9" s="912">
        <f t="shared" si="2"/>
        <v>0.44700000000000001</v>
      </c>
      <c r="J9" s="912">
        <f t="shared" si="2"/>
        <v>0.42299999999999999</v>
      </c>
      <c r="K9" s="912">
        <f t="shared" si="2"/>
        <v>0.44500000000000001</v>
      </c>
      <c r="L9" s="913">
        <f>SUM(F9:K9)</f>
        <v>2.84</v>
      </c>
      <c r="M9" s="912">
        <f t="shared" ref="M9:R9" si="3">M10+M11</f>
        <v>0.4</v>
      </c>
      <c r="N9" s="912">
        <f t="shared" si="3"/>
        <v>0.42799999999999999</v>
      </c>
      <c r="O9" s="912">
        <f t="shared" si="3"/>
        <v>0.41699999999999998</v>
      </c>
      <c r="P9" s="912">
        <f t="shared" si="3"/>
        <v>0.495</v>
      </c>
      <c r="Q9" s="912">
        <f t="shared" si="3"/>
        <v>0.51600000000000001</v>
      </c>
      <c r="R9" s="912">
        <f t="shared" si="3"/>
        <v>0.54400000000000004</v>
      </c>
      <c r="S9" s="914">
        <f>SUM(M9:R9)</f>
        <v>2.8000000000000003</v>
      </c>
      <c r="V9" s="896" t="str">
        <f>IF(SUM(F9:K9,M9:R9)=E9,"Ок","Ошибка")</f>
        <v>Ок</v>
      </c>
    </row>
    <row r="10" spans="1:22" s="895" customFormat="1">
      <c r="A10" s="907" t="s">
        <v>244</v>
      </c>
      <c r="B10" s="915" t="s">
        <v>657</v>
      </c>
      <c r="C10" s="909" t="s">
        <v>587</v>
      </c>
      <c r="D10" s="916"/>
      <c r="E10" s="911">
        <f>L10+S10</f>
        <v>0</v>
      </c>
      <c r="F10" s="917"/>
      <c r="G10" s="917"/>
      <c r="H10" s="917"/>
      <c r="I10" s="917"/>
      <c r="J10" s="917"/>
      <c r="K10" s="917"/>
      <c r="L10" s="913">
        <f>SUM(F10:K10)</f>
        <v>0</v>
      </c>
      <c r="M10" s="917"/>
      <c r="N10" s="917"/>
      <c r="O10" s="917"/>
      <c r="P10" s="917"/>
      <c r="Q10" s="917"/>
      <c r="R10" s="917"/>
      <c r="S10" s="914">
        <f>SUM(M10:R10)</f>
        <v>0</v>
      </c>
      <c r="V10" s="896" t="str">
        <f t="shared" ref="V10:V15" si="4">IF(SUM(F10:K10,M10:R10)=E10,"Ок","Ошибка")</f>
        <v>Ок</v>
      </c>
    </row>
    <row r="11" spans="1:22" s="895" customFormat="1">
      <c r="A11" s="907" t="s">
        <v>245</v>
      </c>
      <c r="B11" s="915" t="s">
        <v>658</v>
      </c>
      <c r="C11" s="909" t="s">
        <v>587</v>
      </c>
      <c r="D11" s="918">
        <v>6.33</v>
      </c>
      <c r="E11" s="911">
        <f>L11+S11</f>
        <v>5.6400000000000006</v>
      </c>
      <c r="F11" s="917">
        <v>0.52400000000000002</v>
      </c>
      <c r="G11" s="917">
        <v>0.51200000000000001</v>
      </c>
      <c r="H11" s="917">
        <v>0.48899999999999999</v>
      </c>
      <c r="I11" s="917">
        <v>0.44700000000000001</v>
      </c>
      <c r="J11" s="917">
        <v>0.42299999999999999</v>
      </c>
      <c r="K11" s="917">
        <v>0.44500000000000001</v>
      </c>
      <c r="L11" s="913">
        <f>SUM(F11:K11)</f>
        <v>2.84</v>
      </c>
      <c r="M11" s="917">
        <v>0.4</v>
      </c>
      <c r="N11" s="917">
        <v>0.42799999999999999</v>
      </c>
      <c r="O11" s="917">
        <v>0.41699999999999998</v>
      </c>
      <c r="P11" s="917">
        <v>0.495</v>
      </c>
      <c r="Q11" s="917">
        <v>0.51600000000000001</v>
      </c>
      <c r="R11" s="917">
        <v>0.54400000000000004</v>
      </c>
      <c r="S11" s="914">
        <f>SUM(M11:R11)</f>
        <v>2.8000000000000003</v>
      </c>
      <c r="V11" s="896" t="str">
        <f t="shared" si="4"/>
        <v>Ок</v>
      </c>
    </row>
    <row r="12" spans="1:22" s="895" customFormat="1">
      <c r="A12" s="907">
        <v>3</v>
      </c>
      <c r="B12" s="919" t="s">
        <v>659</v>
      </c>
      <c r="C12" s="920" t="s">
        <v>280</v>
      </c>
      <c r="D12" s="921">
        <f>D9/D8</f>
        <v>0.22054980662694679</v>
      </c>
      <c r="E12" s="922">
        <f>E9/E8</f>
        <v>0.19646776047653883</v>
      </c>
      <c r="F12" s="922">
        <f>F9/F8</f>
        <v>0.19654913728432111</v>
      </c>
      <c r="G12" s="922">
        <f t="shared" ref="G12:S12" si="5">G9/G8</f>
        <v>0.1964696853415196</v>
      </c>
      <c r="H12" s="922">
        <f t="shared" si="5"/>
        <v>0.19654340836012862</v>
      </c>
      <c r="I12" s="922">
        <f t="shared" si="5"/>
        <v>0.1964835164835165</v>
      </c>
      <c r="J12" s="922">
        <f t="shared" si="5"/>
        <v>0.19647004180213654</v>
      </c>
      <c r="K12" s="922">
        <f t="shared" si="5"/>
        <v>0.19646799116997793</v>
      </c>
      <c r="L12" s="923">
        <f t="shared" si="5"/>
        <v>0.19649899674807997</v>
      </c>
      <c r="M12" s="922">
        <f t="shared" si="5"/>
        <v>0.19646365422396858</v>
      </c>
      <c r="N12" s="922">
        <f t="shared" si="5"/>
        <v>0.19651056014692378</v>
      </c>
      <c r="O12" s="922">
        <f t="shared" si="5"/>
        <v>0.19614299153339604</v>
      </c>
      <c r="P12" s="922">
        <f t="shared" si="5"/>
        <v>0.1965065502183406</v>
      </c>
      <c r="Q12" s="922">
        <f t="shared" si="5"/>
        <v>0.19649657273419652</v>
      </c>
      <c r="R12" s="922">
        <f t="shared" si="5"/>
        <v>0.19646081617912603</v>
      </c>
      <c r="S12" s="924">
        <f t="shared" si="5"/>
        <v>0.19643608811561669</v>
      </c>
      <c r="V12" s="896"/>
    </row>
    <row r="13" spans="1:22" s="895" customFormat="1">
      <c r="A13" s="907">
        <v>4</v>
      </c>
      <c r="B13" s="919" t="s">
        <v>660</v>
      </c>
      <c r="C13" s="909" t="s">
        <v>587</v>
      </c>
      <c r="D13" s="910">
        <f>D14+D15</f>
        <v>22.370999999999999</v>
      </c>
      <c r="E13" s="911">
        <f>L13+S13</f>
        <v>23.067</v>
      </c>
      <c r="F13" s="911">
        <f t="shared" ref="F13:K13" si="6">F14+F15</f>
        <v>2.1419999999999999</v>
      </c>
      <c r="G13" s="911">
        <f>G14+G15</f>
        <v>2.0939999999999999</v>
      </c>
      <c r="H13" s="911">
        <f t="shared" si="6"/>
        <v>1.9990000000000001</v>
      </c>
      <c r="I13" s="911">
        <f t="shared" si="6"/>
        <v>1.8280000000000001</v>
      </c>
      <c r="J13" s="911">
        <f t="shared" si="6"/>
        <v>1.73</v>
      </c>
      <c r="K13" s="911">
        <f t="shared" si="6"/>
        <v>1.82</v>
      </c>
      <c r="L13" s="913">
        <f>SUM(F13:K13)</f>
        <v>11.613</v>
      </c>
      <c r="M13" s="911">
        <f t="shared" ref="M13:R13" si="7">M14+M15</f>
        <v>1.6359999999999999</v>
      </c>
      <c r="N13" s="911">
        <f t="shared" si="7"/>
        <v>1.75</v>
      </c>
      <c r="O13" s="911">
        <f t="shared" si="7"/>
        <v>1.7090000000000001</v>
      </c>
      <c r="P13" s="911">
        <f t="shared" si="7"/>
        <v>2.024</v>
      </c>
      <c r="Q13" s="911">
        <f t="shared" si="7"/>
        <v>2.11</v>
      </c>
      <c r="R13" s="911">
        <f t="shared" si="7"/>
        <v>2.2250000000000001</v>
      </c>
      <c r="S13" s="914">
        <f>SUM(M13:R13)</f>
        <v>11.454000000000001</v>
      </c>
      <c r="V13" s="896" t="str">
        <f t="shared" si="4"/>
        <v>Ок</v>
      </c>
    </row>
    <row r="14" spans="1:22" s="895" customFormat="1">
      <c r="A14" s="907" t="s">
        <v>300</v>
      </c>
      <c r="B14" s="925" t="s">
        <v>661</v>
      </c>
      <c r="C14" s="909" t="s">
        <v>587</v>
      </c>
      <c r="D14" s="916"/>
      <c r="E14" s="911">
        <f>L14+S14</f>
        <v>0</v>
      </c>
      <c r="F14" s="917"/>
      <c r="G14" s="917"/>
      <c r="H14" s="917"/>
      <c r="I14" s="917"/>
      <c r="J14" s="917"/>
      <c r="K14" s="917"/>
      <c r="L14" s="913">
        <f>SUM(F14:K14)</f>
        <v>0</v>
      </c>
      <c r="M14" s="917"/>
      <c r="N14" s="917"/>
      <c r="O14" s="917"/>
      <c r="P14" s="917"/>
      <c r="Q14" s="917"/>
      <c r="R14" s="917"/>
      <c r="S14" s="914">
        <f>SUM(M14:R14)</f>
        <v>0</v>
      </c>
      <c r="V14" s="896" t="str">
        <f t="shared" si="4"/>
        <v>Ок</v>
      </c>
    </row>
    <row r="15" spans="1:22" s="895" customFormat="1">
      <c r="A15" s="907" t="s">
        <v>301</v>
      </c>
      <c r="B15" s="925" t="s">
        <v>986</v>
      </c>
      <c r="C15" s="909" t="s">
        <v>587</v>
      </c>
      <c r="D15" s="918">
        <v>22.370999999999999</v>
      </c>
      <c r="E15" s="911">
        <f>L15+S15</f>
        <v>23.067</v>
      </c>
      <c r="F15" s="926">
        <v>2.1419999999999999</v>
      </c>
      <c r="G15" s="926">
        <v>2.0939999999999999</v>
      </c>
      <c r="H15" s="926">
        <v>1.9990000000000001</v>
      </c>
      <c r="I15" s="926">
        <v>1.8280000000000001</v>
      </c>
      <c r="J15" s="926">
        <v>1.73</v>
      </c>
      <c r="K15" s="926">
        <v>1.82</v>
      </c>
      <c r="L15" s="913">
        <f>SUM(F15:K15)</f>
        <v>11.613</v>
      </c>
      <c r="M15" s="926">
        <v>1.6359999999999999</v>
      </c>
      <c r="N15" s="926">
        <v>1.75</v>
      </c>
      <c r="O15" s="926">
        <v>1.7090000000000001</v>
      </c>
      <c r="P15" s="926">
        <v>2.024</v>
      </c>
      <c r="Q15" s="926">
        <v>2.11</v>
      </c>
      <c r="R15" s="926">
        <v>2.2250000000000001</v>
      </c>
      <c r="S15" s="914">
        <f>SUM(M15:R15)</f>
        <v>11.454000000000001</v>
      </c>
      <c r="V15" s="896" t="str">
        <f t="shared" si="4"/>
        <v>Ок</v>
      </c>
    </row>
    <row r="16" spans="1:22" s="895" customFormat="1" ht="13.5" thickBot="1">
      <c r="A16" s="927" t="s">
        <v>987</v>
      </c>
      <c r="B16" s="928" t="s">
        <v>988</v>
      </c>
      <c r="C16" s="929" t="s">
        <v>587</v>
      </c>
      <c r="D16" s="930"/>
      <c r="E16" s="911">
        <f>L16+S16</f>
        <v>0</v>
      </c>
      <c r="F16" s="931"/>
      <c r="G16" s="932"/>
      <c r="H16" s="932"/>
      <c r="I16" s="932"/>
      <c r="J16" s="932"/>
      <c r="K16" s="932"/>
      <c r="L16" s="933">
        <f>SUM(F16:K16)</f>
        <v>0</v>
      </c>
      <c r="M16" s="932"/>
      <c r="N16" s="932"/>
      <c r="O16" s="932"/>
      <c r="P16" s="932"/>
      <c r="Q16" s="932"/>
      <c r="R16" s="932"/>
      <c r="S16" s="934">
        <f>SUM(M16:R16)</f>
        <v>0</v>
      </c>
      <c r="V16" s="896" t="str">
        <f>IF(SUM(F16:K16,M16:R16)=E16,"Ок","Ошибка")</f>
        <v>Ок</v>
      </c>
    </row>
    <row r="17" spans="1:22" s="895" customFormat="1" ht="13.5" thickBot="1">
      <c r="A17" s="897"/>
      <c r="B17" s="898" t="s">
        <v>989</v>
      </c>
      <c r="C17" s="935"/>
      <c r="D17" s="936"/>
      <c r="E17" s="937"/>
      <c r="F17" s="937"/>
      <c r="G17" s="937"/>
      <c r="H17" s="937"/>
      <c r="I17" s="937"/>
      <c r="J17" s="937"/>
      <c r="K17" s="937"/>
      <c r="L17" s="938"/>
      <c r="M17" s="937"/>
      <c r="N17" s="937"/>
      <c r="O17" s="937"/>
      <c r="P17" s="937"/>
      <c r="Q17" s="937"/>
      <c r="R17" s="937"/>
      <c r="S17" s="939"/>
      <c r="V17" s="896"/>
    </row>
    <row r="18" spans="1:22" s="895" customFormat="1">
      <c r="A18" s="899">
        <v>5</v>
      </c>
      <c r="B18" s="900" t="s">
        <v>655</v>
      </c>
      <c r="C18" s="901" t="s">
        <v>806</v>
      </c>
      <c r="D18" s="940">
        <f>D19+D23</f>
        <v>5.2189999999999994</v>
      </c>
      <c r="E18" s="941">
        <f>(L18+S18)/2</f>
        <v>5.2254166666666668</v>
      </c>
      <c r="F18" s="942">
        <f t="shared" ref="F18:K18" si="8">F19+F23</f>
        <v>5.7089999999999996</v>
      </c>
      <c r="G18" s="942">
        <f t="shared" si="8"/>
        <v>6.1769999999999996</v>
      </c>
      <c r="H18" s="942">
        <f t="shared" si="8"/>
        <v>5.327</v>
      </c>
      <c r="I18" s="942">
        <f t="shared" si="8"/>
        <v>5.0329999999999995</v>
      </c>
      <c r="J18" s="942">
        <f t="shared" si="8"/>
        <v>4.6100000000000003</v>
      </c>
      <c r="K18" s="942">
        <f t="shared" si="8"/>
        <v>5.008</v>
      </c>
      <c r="L18" s="913">
        <f>SUM(F18:K18)/6</f>
        <v>5.3106666666666671</v>
      </c>
      <c r="M18" s="942">
        <f t="shared" ref="M18:R18" si="9">M19+M23</f>
        <v>4.3570000000000002</v>
      </c>
      <c r="N18" s="942">
        <f t="shared" si="9"/>
        <v>4.6619999999999999</v>
      </c>
      <c r="O18" s="942">
        <f t="shared" si="9"/>
        <v>4.6920000000000002</v>
      </c>
      <c r="P18" s="942">
        <f t="shared" si="9"/>
        <v>5.3940000000000001</v>
      </c>
      <c r="Q18" s="942">
        <f t="shared" si="9"/>
        <v>5.8079999999999998</v>
      </c>
      <c r="R18" s="942">
        <f t="shared" si="9"/>
        <v>5.9279999999999999</v>
      </c>
      <c r="S18" s="914">
        <f>SUM(M18:R18)/6</f>
        <v>5.1401666666666666</v>
      </c>
      <c r="V18" s="896" t="str">
        <f>IF(AVERAGE(F18:K18,M18:R18)=E18,"Ок","Ошибка")</f>
        <v>Ок</v>
      </c>
    </row>
    <row r="19" spans="1:22" s="895" customFormat="1">
      <c r="A19" s="907">
        <v>6</v>
      </c>
      <c r="B19" s="908" t="s">
        <v>656</v>
      </c>
      <c r="C19" s="909" t="s">
        <v>806</v>
      </c>
      <c r="D19" s="910">
        <f>D20+D21</f>
        <v>1.151</v>
      </c>
      <c r="E19" s="911">
        <f>(L19+S19)/2</f>
        <v>1.0268333333333333</v>
      </c>
      <c r="F19" s="912">
        <f t="shared" ref="F19:K19" si="10">F20+F21</f>
        <v>1.1220000000000001</v>
      </c>
      <c r="G19" s="912">
        <f t="shared" si="10"/>
        <v>1.214</v>
      </c>
      <c r="H19" s="912">
        <f t="shared" si="10"/>
        <v>1.0469999999999999</v>
      </c>
      <c r="I19" s="912">
        <f t="shared" si="10"/>
        <v>0.98899999999999999</v>
      </c>
      <c r="J19" s="912">
        <f t="shared" si="10"/>
        <v>0.90600000000000003</v>
      </c>
      <c r="K19" s="912">
        <f t="shared" si="10"/>
        <v>0.98399999999999999</v>
      </c>
      <c r="L19" s="913">
        <f>SUM(F19:K19)/6</f>
        <v>1.0436666666666665</v>
      </c>
      <c r="M19" s="912">
        <f t="shared" ref="M19:R19" si="11">M20+M21</f>
        <v>0.85599999999999998</v>
      </c>
      <c r="N19" s="912">
        <f t="shared" si="11"/>
        <v>0.91600000000000004</v>
      </c>
      <c r="O19" s="912">
        <f t="shared" si="11"/>
        <v>0.92200000000000004</v>
      </c>
      <c r="P19" s="912">
        <f t="shared" si="11"/>
        <v>1.06</v>
      </c>
      <c r="Q19" s="912">
        <f t="shared" si="11"/>
        <v>1.141</v>
      </c>
      <c r="R19" s="912">
        <f t="shared" si="11"/>
        <v>1.165</v>
      </c>
      <c r="S19" s="914">
        <f>SUM(M19:R19)/6</f>
        <v>1.01</v>
      </c>
      <c r="V19" s="896" t="str">
        <f>IF(AVERAGE(F19:K19,M19:R19)=E19,"Ок","Ошибка")</f>
        <v>Ок</v>
      </c>
    </row>
    <row r="20" spans="1:22" s="895" customFormat="1">
      <c r="A20" s="943" t="s">
        <v>304</v>
      </c>
      <c r="B20" s="915" t="s">
        <v>657</v>
      </c>
      <c r="C20" s="909" t="s">
        <v>806</v>
      </c>
      <c r="D20" s="916"/>
      <c r="E20" s="911">
        <f>(L20+S20)/2</f>
        <v>0</v>
      </c>
      <c r="F20" s="917"/>
      <c r="G20" s="917"/>
      <c r="H20" s="917"/>
      <c r="I20" s="917"/>
      <c r="J20" s="917"/>
      <c r="K20" s="917"/>
      <c r="L20" s="913">
        <f t="shared" ref="L20:L26" si="12">SUM(F20:K20)/6</f>
        <v>0</v>
      </c>
      <c r="M20" s="917"/>
      <c r="N20" s="917"/>
      <c r="O20" s="917"/>
      <c r="P20" s="917"/>
      <c r="Q20" s="917"/>
      <c r="R20" s="917"/>
      <c r="S20" s="914">
        <f>SUM(M20:R20)/6</f>
        <v>0</v>
      </c>
      <c r="V20" s="896" t="str">
        <f>IF(SUM(F20:K20,M20:R20)=E20,"Ок","Ошибка")</f>
        <v>Ок</v>
      </c>
    </row>
    <row r="21" spans="1:22" s="895" customFormat="1">
      <c r="A21" s="943" t="s">
        <v>305</v>
      </c>
      <c r="B21" s="915" t="s">
        <v>658</v>
      </c>
      <c r="C21" s="909" t="s">
        <v>806</v>
      </c>
      <c r="D21" s="918">
        <v>1.151</v>
      </c>
      <c r="E21" s="911">
        <f>(L21+S21)/2</f>
        <v>1.0268333333333333</v>
      </c>
      <c r="F21" s="917">
        <v>1.1220000000000001</v>
      </c>
      <c r="G21" s="917">
        <v>1.214</v>
      </c>
      <c r="H21" s="917">
        <v>1.0469999999999999</v>
      </c>
      <c r="I21" s="917">
        <v>0.98899999999999999</v>
      </c>
      <c r="J21" s="917">
        <v>0.90600000000000003</v>
      </c>
      <c r="K21" s="917">
        <v>0.98399999999999999</v>
      </c>
      <c r="L21" s="913">
        <f t="shared" si="12"/>
        <v>1.0436666666666665</v>
      </c>
      <c r="M21" s="917">
        <v>0.85599999999999998</v>
      </c>
      <c r="N21" s="917">
        <v>0.91600000000000004</v>
      </c>
      <c r="O21" s="917">
        <v>0.92200000000000004</v>
      </c>
      <c r="P21" s="917">
        <v>1.06</v>
      </c>
      <c r="Q21" s="917">
        <v>1.141</v>
      </c>
      <c r="R21" s="917">
        <v>1.165</v>
      </c>
      <c r="S21" s="914">
        <f>SUM(M21:R21)/6</f>
        <v>1.01</v>
      </c>
      <c r="V21" s="896" t="str">
        <f>IF(SUM(F21:K21,M21:R21)/12=E21,"Ок","Ошибка")</f>
        <v>Ок</v>
      </c>
    </row>
    <row r="22" spans="1:22" s="895" customFormat="1">
      <c r="A22" s="907">
        <v>7</v>
      </c>
      <c r="B22" s="919" t="s">
        <v>659</v>
      </c>
      <c r="C22" s="920" t="s">
        <v>280</v>
      </c>
      <c r="D22" s="921">
        <f>D19/D18</f>
        <v>0.22054033339720255</v>
      </c>
      <c r="E22" s="922">
        <f t="shared" ref="E22:S22" si="13">E19/E18</f>
        <v>0.19650745554580973</v>
      </c>
      <c r="F22" s="922">
        <f t="shared" si="13"/>
        <v>0.19653179190751449</v>
      </c>
      <c r="G22" s="922">
        <f t="shared" si="13"/>
        <v>0.19653553504937674</v>
      </c>
      <c r="H22" s="922">
        <f t="shared" si="13"/>
        <v>0.19654589825417682</v>
      </c>
      <c r="I22" s="922">
        <f t="shared" si="13"/>
        <v>0.19650307967415062</v>
      </c>
      <c r="J22" s="922">
        <f t="shared" si="13"/>
        <v>0.19652928416485899</v>
      </c>
      <c r="K22" s="922">
        <f t="shared" si="13"/>
        <v>0.19648562300319489</v>
      </c>
      <c r="L22" s="923">
        <f t="shared" si="13"/>
        <v>0.19652272156665826</v>
      </c>
      <c r="M22" s="922">
        <f t="shared" si="13"/>
        <v>0.19646545788386502</v>
      </c>
      <c r="N22" s="922">
        <f>N19/N18</f>
        <v>0.1964821964821965</v>
      </c>
      <c r="O22" s="922">
        <f t="shared" si="13"/>
        <v>0.19650468883205457</v>
      </c>
      <c r="P22" s="922">
        <f t="shared" si="13"/>
        <v>0.19651464590285503</v>
      </c>
      <c r="Q22" s="922">
        <f t="shared" si="13"/>
        <v>0.19645316804407714</v>
      </c>
      <c r="R22" s="922">
        <f t="shared" si="13"/>
        <v>0.19652496626180838</v>
      </c>
      <c r="S22" s="924">
        <f t="shared" si="13"/>
        <v>0.19649168314905482</v>
      </c>
      <c r="V22" s="896"/>
    </row>
    <row r="23" spans="1:22" s="895" customFormat="1">
      <c r="A23" s="907">
        <v>8</v>
      </c>
      <c r="B23" s="919" t="s">
        <v>990</v>
      </c>
      <c r="C23" s="909" t="s">
        <v>806</v>
      </c>
      <c r="D23" s="910">
        <f>D24+D25</f>
        <v>4.0679999999999996</v>
      </c>
      <c r="E23" s="911">
        <f>(L23+S23)/2</f>
        <v>4.1985833333333336</v>
      </c>
      <c r="F23" s="911">
        <f t="shared" ref="F23:K23" si="14">F24+F25</f>
        <v>4.5869999999999997</v>
      </c>
      <c r="G23" s="911">
        <f t="shared" si="14"/>
        <v>4.9630000000000001</v>
      </c>
      <c r="H23" s="911">
        <f t="shared" si="14"/>
        <v>4.28</v>
      </c>
      <c r="I23" s="911">
        <f t="shared" si="14"/>
        <v>4.0439999999999996</v>
      </c>
      <c r="J23" s="911">
        <f t="shared" si="14"/>
        <v>3.7040000000000002</v>
      </c>
      <c r="K23" s="911">
        <f t="shared" si="14"/>
        <v>4.024</v>
      </c>
      <c r="L23" s="913">
        <f t="shared" si="12"/>
        <v>4.2670000000000003</v>
      </c>
      <c r="M23" s="911">
        <f t="shared" ref="M23:R23" si="15">M24+M25</f>
        <v>3.5009999999999999</v>
      </c>
      <c r="N23" s="911">
        <f t="shared" si="15"/>
        <v>3.746</v>
      </c>
      <c r="O23" s="911">
        <f>O24+O25</f>
        <v>3.77</v>
      </c>
      <c r="P23" s="911">
        <f t="shared" si="15"/>
        <v>4.3339999999999996</v>
      </c>
      <c r="Q23" s="911">
        <f t="shared" si="15"/>
        <v>4.6669999999999998</v>
      </c>
      <c r="R23" s="911">
        <f t="shared" si="15"/>
        <v>4.7629999999999999</v>
      </c>
      <c r="S23" s="914">
        <f>SUM(M23:R23)/6</f>
        <v>4.1301666666666668</v>
      </c>
      <c r="V23" s="896" t="str">
        <f>IF(AVERAGE(F23:K23,M23:R23)=E23,"Ок","Ошибка")</f>
        <v>Ок</v>
      </c>
    </row>
    <row r="24" spans="1:22" s="895" customFormat="1">
      <c r="A24" s="943" t="s">
        <v>307</v>
      </c>
      <c r="B24" s="925" t="s">
        <v>661</v>
      </c>
      <c r="C24" s="909" t="s">
        <v>806</v>
      </c>
      <c r="D24" s="916"/>
      <c r="E24" s="911">
        <f>(L24+S24)/2</f>
        <v>0</v>
      </c>
      <c r="F24" s="917"/>
      <c r="G24" s="917"/>
      <c r="H24" s="917"/>
      <c r="I24" s="917"/>
      <c r="J24" s="917"/>
      <c r="K24" s="917"/>
      <c r="L24" s="913">
        <f t="shared" si="12"/>
        <v>0</v>
      </c>
      <c r="M24" s="917"/>
      <c r="N24" s="917"/>
      <c r="O24" s="917"/>
      <c r="P24" s="917"/>
      <c r="Q24" s="917"/>
      <c r="R24" s="917"/>
      <c r="S24" s="914">
        <f>SUM(M24:R24)/6</f>
        <v>0</v>
      </c>
      <c r="V24" s="896" t="str">
        <f>IF(SUM(F24:K24,M24:R24)=E24,"Ок","Ошибка")</f>
        <v>Ок</v>
      </c>
    </row>
    <row r="25" spans="1:22" s="895" customFormat="1" ht="14.25" customHeight="1">
      <c r="A25" s="943" t="s">
        <v>308</v>
      </c>
      <c r="B25" s="925" t="s">
        <v>991</v>
      </c>
      <c r="C25" s="909" t="s">
        <v>806</v>
      </c>
      <c r="D25" s="918">
        <v>4.0679999999999996</v>
      </c>
      <c r="E25" s="944">
        <f>(L25+S25)/2</f>
        <v>4.1985833333333336</v>
      </c>
      <c r="F25" s="917">
        <v>4.5869999999999997</v>
      </c>
      <c r="G25" s="917">
        <v>4.9630000000000001</v>
      </c>
      <c r="H25" s="917">
        <v>4.28</v>
      </c>
      <c r="I25" s="917">
        <v>4.0439999999999996</v>
      </c>
      <c r="J25" s="917">
        <v>3.7040000000000002</v>
      </c>
      <c r="K25" s="917">
        <v>4.024</v>
      </c>
      <c r="L25" s="945">
        <f t="shared" si="12"/>
        <v>4.2670000000000003</v>
      </c>
      <c r="M25" s="917">
        <v>3.5009999999999999</v>
      </c>
      <c r="N25" s="917">
        <v>3.746</v>
      </c>
      <c r="O25" s="917">
        <v>3.77</v>
      </c>
      <c r="P25" s="917">
        <v>4.3339999999999996</v>
      </c>
      <c r="Q25" s="917">
        <v>4.6669999999999998</v>
      </c>
      <c r="R25" s="917">
        <v>4.7629999999999999</v>
      </c>
      <c r="S25" s="914">
        <f>SUM(M25:R25)/6</f>
        <v>4.1301666666666668</v>
      </c>
      <c r="V25" s="896" t="str">
        <f>IF(SUM(F25:K25,M25:R25)/12=E25,"Ок","Ошибка")</f>
        <v>Ок</v>
      </c>
    </row>
    <row r="26" spans="1:22" s="895" customFormat="1" ht="18" customHeight="1" thickBot="1">
      <c r="A26" s="927" t="s">
        <v>992</v>
      </c>
      <c r="B26" s="928" t="s">
        <v>988</v>
      </c>
      <c r="C26" s="929" t="s">
        <v>806</v>
      </c>
      <c r="D26" s="946"/>
      <c r="E26" s="947">
        <f>(L26+S26)/2</f>
        <v>0</v>
      </c>
      <c r="F26" s="948"/>
      <c r="G26" s="949"/>
      <c r="H26" s="949"/>
      <c r="I26" s="949"/>
      <c r="J26" s="949"/>
      <c r="K26" s="949"/>
      <c r="L26" s="950">
        <f t="shared" si="12"/>
        <v>0</v>
      </c>
      <c r="M26" s="949"/>
      <c r="N26" s="949"/>
      <c r="O26" s="949"/>
      <c r="P26" s="949"/>
      <c r="Q26" s="949"/>
      <c r="R26" s="949"/>
      <c r="S26" s="951">
        <f>SUM(M26:R26)/6</f>
        <v>0</v>
      </c>
      <c r="V26" s="896" t="str">
        <f>IF(SUM(F26:K26,M26:R26)=E26,"Ок","Ошибка")</f>
        <v>Ок</v>
      </c>
    </row>
    <row r="27" spans="1:22" ht="13.5" thickBot="1"/>
    <row r="28" spans="1:22" ht="13.5" customHeight="1" thickBot="1">
      <c r="A28" s="1685" t="s">
        <v>993</v>
      </c>
      <c r="B28" s="1688" t="s">
        <v>242</v>
      </c>
      <c r="C28" s="1688" t="s">
        <v>267</v>
      </c>
      <c r="D28" s="1691" t="s">
        <v>994</v>
      </c>
      <c r="E28" s="1692"/>
      <c r="F28" s="1692"/>
      <c r="G28" s="1692"/>
      <c r="H28" s="1692"/>
      <c r="I28" s="1692"/>
      <c r="J28" s="1692"/>
      <c r="K28" s="1692"/>
      <c r="L28" s="1692"/>
      <c r="M28" s="1693"/>
      <c r="N28" s="1657" t="s">
        <v>262</v>
      </c>
      <c r="O28" s="1658"/>
    </row>
    <row r="29" spans="1:22" ht="50.25" customHeight="1" thickBot="1">
      <c r="A29" s="1686"/>
      <c r="B29" s="1689"/>
      <c r="C29" s="1689"/>
      <c r="D29" s="1694" t="s">
        <v>1112</v>
      </c>
      <c r="E29" s="1695"/>
      <c r="F29" s="1696" t="s">
        <v>1106</v>
      </c>
      <c r="G29" s="1697"/>
      <c r="H29" s="1696" t="s">
        <v>1107</v>
      </c>
      <c r="I29" s="1697"/>
      <c r="J29" s="1696" t="s">
        <v>1108</v>
      </c>
      <c r="K29" s="1697"/>
      <c r="L29" s="1696"/>
      <c r="M29" s="1697"/>
      <c r="N29" s="1659"/>
      <c r="O29" s="1660"/>
    </row>
    <row r="30" spans="1:22" ht="13.5" thickBot="1">
      <c r="A30" s="1687"/>
      <c r="B30" s="1690"/>
      <c r="C30" s="1690"/>
      <c r="D30" s="958" t="s">
        <v>1032</v>
      </c>
      <c r="E30" s="958" t="s">
        <v>1033</v>
      </c>
      <c r="F30" s="958" t="s">
        <v>1032</v>
      </c>
      <c r="G30" s="958" t="s">
        <v>1033</v>
      </c>
      <c r="H30" s="958" t="s">
        <v>1032</v>
      </c>
      <c r="I30" s="958" t="s">
        <v>1033</v>
      </c>
      <c r="J30" s="958" t="s">
        <v>1032</v>
      </c>
      <c r="K30" s="958" t="s">
        <v>1033</v>
      </c>
      <c r="L30" s="958" t="s">
        <v>1032</v>
      </c>
      <c r="M30" s="958" t="s">
        <v>1033</v>
      </c>
      <c r="N30" s="1016" t="s">
        <v>1032</v>
      </c>
      <c r="O30" s="1016" t="s">
        <v>1033</v>
      </c>
    </row>
    <row r="31" spans="1:22">
      <c r="A31" s="959" t="s">
        <v>247</v>
      </c>
      <c r="B31" s="960" t="s">
        <v>995</v>
      </c>
      <c r="C31" s="961" t="s">
        <v>587</v>
      </c>
      <c r="D31" s="962">
        <f t="shared" ref="D31:K31" si="16">D32+D33+D35+D38</f>
        <v>22.929000000000002</v>
      </c>
      <c r="E31" s="962">
        <f t="shared" si="16"/>
        <v>22.933</v>
      </c>
      <c r="F31" s="962">
        <f t="shared" si="16"/>
        <v>2.1219999999999999</v>
      </c>
      <c r="G31" s="962">
        <f t="shared" si="16"/>
        <v>2.1230000000000002</v>
      </c>
      <c r="H31" s="962">
        <f t="shared" si="16"/>
        <v>2.6360000000000001</v>
      </c>
      <c r="I31" s="962">
        <f t="shared" si="16"/>
        <v>2.637</v>
      </c>
      <c r="J31" s="962">
        <f t="shared" si="16"/>
        <v>1.014</v>
      </c>
      <c r="K31" s="962">
        <f t="shared" si="16"/>
        <v>1.014</v>
      </c>
      <c r="L31" s="962"/>
      <c r="M31" s="1009"/>
      <c r="N31" s="1017">
        <f t="shared" ref="N31:N41" si="17">D31+F31+H31+J31+L31</f>
        <v>28.701000000000001</v>
      </c>
      <c r="O31" s="1020">
        <f t="shared" ref="O31:O41" si="18">E31+G31+I31+K31+M31</f>
        <v>28.707000000000001</v>
      </c>
    </row>
    <row r="32" spans="1:22">
      <c r="A32" s="963" t="s">
        <v>295</v>
      </c>
      <c r="B32" s="964" t="s">
        <v>996</v>
      </c>
      <c r="C32" s="965" t="s">
        <v>587</v>
      </c>
      <c r="D32" s="966"/>
      <c r="E32" s="966"/>
      <c r="F32" s="966"/>
      <c r="G32" s="966"/>
      <c r="H32" s="966"/>
      <c r="I32" s="966"/>
      <c r="J32" s="967"/>
      <c r="K32" s="967"/>
      <c r="L32" s="967"/>
      <c r="M32" s="1010"/>
      <c r="N32" s="1018">
        <f t="shared" si="17"/>
        <v>0</v>
      </c>
      <c r="O32" s="1021">
        <f t="shared" si="18"/>
        <v>0</v>
      </c>
    </row>
    <row r="33" spans="1:22">
      <c r="A33" s="963" t="s">
        <v>257</v>
      </c>
      <c r="B33" s="964" t="s">
        <v>997</v>
      </c>
      <c r="C33" s="965" t="s">
        <v>587</v>
      </c>
      <c r="D33" s="968">
        <f t="shared" ref="D33:K33" si="19">D34</f>
        <v>0</v>
      </c>
      <c r="E33" s="968">
        <f t="shared" si="19"/>
        <v>0</v>
      </c>
      <c r="F33" s="968">
        <f t="shared" si="19"/>
        <v>0</v>
      </c>
      <c r="G33" s="968">
        <f t="shared" si="19"/>
        <v>0</v>
      </c>
      <c r="H33" s="968">
        <f t="shared" si="19"/>
        <v>0</v>
      </c>
      <c r="I33" s="968">
        <f t="shared" si="19"/>
        <v>0</v>
      </c>
      <c r="J33" s="968">
        <f t="shared" si="19"/>
        <v>0</v>
      </c>
      <c r="K33" s="968">
        <f t="shared" si="19"/>
        <v>0</v>
      </c>
      <c r="L33" s="968"/>
      <c r="M33" s="1011"/>
      <c r="N33" s="1018">
        <f t="shared" si="17"/>
        <v>0</v>
      </c>
      <c r="O33" s="1021">
        <f t="shared" si="18"/>
        <v>0</v>
      </c>
    </row>
    <row r="34" spans="1:22">
      <c r="A34" s="963"/>
      <c r="B34" s="969" t="s">
        <v>998</v>
      </c>
      <c r="C34" s="965" t="s">
        <v>587</v>
      </c>
      <c r="D34" s="967"/>
      <c r="E34" s="967"/>
      <c r="F34" s="967"/>
      <c r="G34" s="967"/>
      <c r="H34" s="967"/>
      <c r="I34" s="967"/>
      <c r="J34" s="967"/>
      <c r="K34" s="967"/>
      <c r="L34" s="967"/>
      <c r="M34" s="1010"/>
      <c r="N34" s="1018">
        <f t="shared" si="17"/>
        <v>0</v>
      </c>
      <c r="O34" s="1021">
        <f t="shared" si="18"/>
        <v>0</v>
      </c>
    </row>
    <row r="35" spans="1:22">
      <c r="A35" s="963" t="s">
        <v>6</v>
      </c>
      <c r="B35" s="969" t="s">
        <v>999</v>
      </c>
      <c r="C35" s="965" t="s">
        <v>587</v>
      </c>
      <c r="D35" s="968">
        <f t="shared" ref="D35:K35" si="20">D36+D37</f>
        <v>18.759</v>
      </c>
      <c r="E35" s="968">
        <f t="shared" si="20"/>
        <v>18.762090631542218</v>
      </c>
      <c r="F35" s="968">
        <f t="shared" si="20"/>
        <v>2.1219999999999999</v>
      </c>
      <c r="G35" s="968">
        <f t="shared" si="20"/>
        <v>2.1230000000000002</v>
      </c>
      <c r="H35" s="968">
        <f t="shared" si="20"/>
        <v>0</v>
      </c>
      <c r="I35" s="968">
        <f t="shared" si="20"/>
        <v>0</v>
      </c>
      <c r="J35" s="968">
        <f t="shared" si="20"/>
        <v>0</v>
      </c>
      <c r="K35" s="968">
        <f t="shared" si="20"/>
        <v>0</v>
      </c>
      <c r="L35" s="968"/>
      <c r="M35" s="1011"/>
      <c r="N35" s="1018">
        <f t="shared" si="17"/>
        <v>20.881</v>
      </c>
      <c r="O35" s="1021">
        <f t="shared" si="18"/>
        <v>20.885090631542219</v>
      </c>
    </row>
    <row r="36" spans="1:22">
      <c r="A36" s="963"/>
      <c r="B36" s="969" t="s">
        <v>998</v>
      </c>
      <c r="C36" s="965" t="s">
        <v>587</v>
      </c>
      <c r="D36" s="970">
        <v>10.827999999999999</v>
      </c>
      <c r="E36" s="970">
        <v>10.830361304954639</v>
      </c>
      <c r="F36" s="970"/>
      <c r="G36" s="970"/>
      <c r="H36" s="970"/>
      <c r="I36" s="970"/>
      <c r="J36" s="970"/>
      <c r="K36" s="966"/>
      <c r="L36" s="970"/>
      <c r="M36" s="1012"/>
      <c r="N36" s="1018">
        <f t="shared" si="17"/>
        <v>10.827999999999999</v>
      </c>
      <c r="O36" s="1021">
        <f t="shared" si="18"/>
        <v>10.830361304954639</v>
      </c>
    </row>
    <row r="37" spans="1:22">
      <c r="A37" s="963"/>
      <c r="B37" s="969" t="s">
        <v>1000</v>
      </c>
      <c r="C37" s="965" t="s">
        <v>587</v>
      </c>
      <c r="D37" s="966">
        <v>7.931</v>
      </c>
      <c r="E37" s="970">
        <v>7.9317293265875781</v>
      </c>
      <c r="F37" s="966">
        <v>2.1219999999999999</v>
      </c>
      <c r="G37" s="966">
        <v>2.1230000000000002</v>
      </c>
      <c r="H37" s="966"/>
      <c r="I37" s="966"/>
      <c r="J37" s="966"/>
      <c r="K37" s="966"/>
      <c r="L37" s="966"/>
      <c r="M37" s="1012"/>
      <c r="N37" s="1018">
        <f t="shared" si="17"/>
        <v>10.053000000000001</v>
      </c>
      <c r="O37" s="1021">
        <f t="shared" si="18"/>
        <v>10.054729326587578</v>
      </c>
    </row>
    <row r="38" spans="1:22">
      <c r="A38" s="963" t="s">
        <v>7</v>
      </c>
      <c r="B38" s="969" t="s">
        <v>1001</v>
      </c>
      <c r="C38" s="965" t="s">
        <v>587</v>
      </c>
      <c r="D38" s="968">
        <f t="shared" ref="D38:K38" si="21">D39+D40+D41</f>
        <v>4.17</v>
      </c>
      <c r="E38" s="968">
        <f t="shared" si="21"/>
        <v>4.1709093684577807</v>
      </c>
      <c r="F38" s="968">
        <f t="shared" si="21"/>
        <v>0</v>
      </c>
      <c r="G38" s="968">
        <f t="shared" si="21"/>
        <v>0</v>
      </c>
      <c r="H38" s="968">
        <f t="shared" si="21"/>
        <v>2.6360000000000001</v>
      </c>
      <c r="I38" s="968">
        <f t="shared" si="21"/>
        <v>2.637</v>
      </c>
      <c r="J38" s="968">
        <f t="shared" si="21"/>
        <v>1.014</v>
      </c>
      <c r="K38" s="968">
        <f t="shared" si="21"/>
        <v>1.014</v>
      </c>
      <c r="L38" s="968"/>
      <c r="M38" s="1011"/>
      <c r="N38" s="1018">
        <f t="shared" si="17"/>
        <v>7.82</v>
      </c>
      <c r="O38" s="1021">
        <f t="shared" si="18"/>
        <v>7.8219093684577805</v>
      </c>
    </row>
    <row r="39" spans="1:22">
      <c r="A39" s="963"/>
      <c r="B39" s="969" t="s">
        <v>998</v>
      </c>
      <c r="C39" s="965" t="s">
        <v>587</v>
      </c>
      <c r="D39" s="971"/>
      <c r="E39" s="972"/>
      <c r="F39" s="972"/>
      <c r="G39" s="972"/>
      <c r="H39" s="972"/>
      <c r="I39" s="972"/>
      <c r="J39" s="972"/>
      <c r="K39" s="972"/>
      <c r="L39" s="972"/>
      <c r="M39" s="1013"/>
      <c r="N39" s="1018">
        <f t="shared" si="17"/>
        <v>0</v>
      </c>
      <c r="O39" s="1021">
        <f t="shared" si="18"/>
        <v>0</v>
      </c>
    </row>
    <row r="40" spans="1:22">
      <c r="A40" s="963"/>
      <c r="B40" s="969" t="s">
        <v>1002</v>
      </c>
      <c r="C40" s="965" t="s">
        <v>587</v>
      </c>
      <c r="D40" s="973"/>
      <c r="E40" s="974"/>
      <c r="F40" s="974"/>
      <c r="G40" s="974"/>
      <c r="H40" s="974"/>
      <c r="I40" s="974"/>
      <c r="J40" s="974"/>
      <c r="K40" s="974"/>
      <c r="L40" s="974"/>
      <c r="M40" s="1014"/>
      <c r="N40" s="1018">
        <f t="shared" si="17"/>
        <v>0</v>
      </c>
      <c r="O40" s="1021">
        <f t="shared" si="18"/>
        <v>0</v>
      </c>
    </row>
    <row r="41" spans="1:22" ht="13.5" thickBot="1">
      <c r="A41" s="975"/>
      <c r="B41" s="975" t="s">
        <v>1003</v>
      </c>
      <c r="C41" s="976" t="s">
        <v>587</v>
      </c>
      <c r="D41" s="977">
        <v>4.17</v>
      </c>
      <c r="E41" s="977">
        <v>4.1709093684577807</v>
      </c>
      <c r="F41" s="977"/>
      <c r="G41" s="977"/>
      <c r="H41" s="977">
        <v>2.6360000000000001</v>
      </c>
      <c r="I41" s="977">
        <v>2.637</v>
      </c>
      <c r="J41" s="977">
        <v>1.014</v>
      </c>
      <c r="K41" s="977">
        <v>1.014</v>
      </c>
      <c r="L41" s="977"/>
      <c r="M41" s="1015"/>
      <c r="N41" s="1019">
        <f t="shared" si="17"/>
        <v>7.82</v>
      </c>
      <c r="O41" s="1022">
        <f t="shared" si="18"/>
        <v>7.8219093684577805</v>
      </c>
    </row>
    <row r="42" spans="1:22" s="895" customFormat="1" ht="19.5" customHeight="1">
      <c r="A42" s="952" t="s">
        <v>248</v>
      </c>
      <c r="B42" s="1669" t="s">
        <v>1111</v>
      </c>
      <c r="C42" s="1669"/>
      <c r="D42" s="1670"/>
      <c r="E42" s="1670"/>
      <c r="F42" s="1670"/>
      <c r="G42" s="1670"/>
      <c r="H42" s="1670"/>
      <c r="J42" s="953"/>
      <c r="K42" s="1671"/>
      <c r="L42" s="1671"/>
      <c r="M42" s="1671"/>
      <c r="N42" s="954"/>
      <c r="O42" s="954"/>
      <c r="P42" s="954"/>
      <c r="Q42" s="954"/>
      <c r="R42" s="954"/>
      <c r="S42" s="954"/>
      <c r="V42" s="896"/>
    </row>
    <row r="43" spans="1:22" ht="13.5" thickBot="1">
      <c r="A43" s="1654" t="s">
        <v>1004</v>
      </c>
      <c r="B43" s="1654"/>
      <c r="C43" s="1654"/>
      <c r="D43" s="1654"/>
      <c r="E43" s="1654"/>
      <c r="F43" s="1654"/>
      <c r="G43" s="1654"/>
      <c r="H43" s="1654"/>
      <c r="I43" s="1654"/>
      <c r="J43" s="1654"/>
      <c r="K43" s="1654"/>
      <c r="L43" s="1654"/>
      <c r="M43" s="1654"/>
      <c r="N43" s="1654"/>
      <c r="O43" s="1654"/>
    </row>
    <row r="44" spans="1:22" ht="64.5" customHeight="1" thickBot="1">
      <c r="A44" s="957" t="s">
        <v>241</v>
      </c>
      <c r="B44" s="1681" t="s">
        <v>1005</v>
      </c>
      <c r="C44" s="1682"/>
      <c r="D44" s="1666" t="s">
        <v>1006</v>
      </c>
      <c r="E44" s="1666"/>
      <c r="F44" s="1666" t="s">
        <v>1007</v>
      </c>
      <c r="G44" s="1666"/>
      <c r="H44" s="1666" t="s">
        <v>1008</v>
      </c>
      <c r="I44" s="1666"/>
      <c r="J44" s="1666" t="s">
        <v>1009</v>
      </c>
      <c r="K44" s="1666"/>
      <c r="L44" s="1666" t="s">
        <v>1010</v>
      </c>
      <c r="M44" s="1666"/>
      <c r="N44" s="1666" t="s">
        <v>1011</v>
      </c>
      <c r="O44" s="1666"/>
    </row>
    <row r="45" spans="1:22" ht="13.5" thickBot="1">
      <c r="A45" s="957" t="s">
        <v>993</v>
      </c>
      <c r="B45" s="1683"/>
      <c r="C45" s="1684"/>
      <c r="D45" s="955" t="s">
        <v>1032</v>
      </c>
      <c r="E45" s="955" t="s">
        <v>1033</v>
      </c>
      <c r="F45" s="956" t="s">
        <v>1032</v>
      </c>
      <c r="G45" s="956" t="s">
        <v>1033</v>
      </c>
      <c r="H45" s="955" t="s">
        <v>1032</v>
      </c>
      <c r="I45" s="955" t="s">
        <v>1033</v>
      </c>
      <c r="J45" s="956" t="s">
        <v>1032</v>
      </c>
      <c r="K45" s="956" t="s">
        <v>1033</v>
      </c>
      <c r="L45" s="955" t="s">
        <v>1032</v>
      </c>
      <c r="M45" s="955" t="s">
        <v>1033</v>
      </c>
      <c r="N45" s="956" t="s">
        <v>1032</v>
      </c>
      <c r="O45" s="956" t="s">
        <v>1033</v>
      </c>
    </row>
    <row r="46" spans="1:22">
      <c r="A46" s="960" t="s">
        <v>247</v>
      </c>
      <c r="B46" s="978" t="s">
        <v>1012</v>
      </c>
      <c r="C46" s="978"/>
      <c r="D46" s="1025">
        <f t="shared" ref="D46:O46" si="22">D47+D48</f>
        <v>0</v>
      </c>
      <c r="E46" s="1026">
        <f t="shared" si="22"/>
        <v>0</v>
      </c>
      <c r="F46" s="1025">
        <f t="shared" si="22"/>
        <v>0</v>
      </c>
      <c r="G46" s="1026">
        <f t="shared" si="22"/>
        <v>0</v>
      </c>
      <c r="H46" s="1025">
        <f t="shared" si="22"/>
        <v>0</v>
      </c>
      <c r="I46" s="1026">
        <f t="shared" si="22"/>
        <v>0</v>
      </c>
      <c r="J46" s="1025">
        <f t="shared" si="22"/>
        <v>0</v>
      </c>
      <c r="K46" s="1026">
        <f t="shared" si="22"/>
        <v>0</v>
      </c>
      <c r="L46" s="1025">
        <f t="shared" si="22"/>
        <v>0</v>
      </c>
      <c r="M46" s="1026">
        <f t="shared" si="22"/>
        <v>0</v>
      </c>
      <c r="N46" s="1025">
        <f t="shared" si="22"/>
        <v>0</v>
      </c>
      <c r="O46" s="1026">
        <f t="shared" si="22"/>
        <v>0</v>
      </c>
    </row>
    <row r="47" spans="1:22">
      <c r="A47" s="969"/>
      <c r="B47" s="979" t="s">
        <v>661</v>
      </c>
      <c r="C47" s="964"/>
      <c r="D47" s="982"/>
      <c r="E47" s="983"/>
      <c r="F47" s="982"/>
      <c r="G47" s="983"/>
      <c r="H47" s="982"/>
      <c r="I47" s="983"/>
      <c r="J47" s="982"/>
      <c r="K47" s="983"/>
      <c r="L47" s="982"/>
      <c r="M47" s="983"/>
      <c r="N47" s="982"/>
      <c r="O47" s="984"/>
    </row>
    <row r="48" spans="1:22">
      <c r="A48" s="969"/>
      <c r="B48" s="979" t="s">
        <v>662</v>
      </c>
      <c r="C48" s="964"/>
      <c r="D48" s="916"/>
      <c r="E48" s="985"/>
      <c r="F48" s="916"/>
      <c r="G48" s="985"/>
      <c r="H48" s="916"/>
      <c r="I48" s="985"/>
      <c r="J48" s="916"/>
      <c r="K48" s="985"/>
      <c r="L48" s="916"/>
      <c r="M48" s="985"/>
      <c r="N48" s="916"/>
      <c r="O48" s="986"/>
    </row>
    <row r="49" spans="1:19">
      <c r="A49" s="969" t="s">
        <v>243</v>
      </c>
      <c r="B49" s="964" t="s">
        <v>1013</v>
      </c>
      <c r="C49" s="964"/>
      <c r="D49" s="910">
        <f>D50+D51</f>
        <v>0</v>
      </c>
      <c r="E49" s="944">
        <f t="shared" ref="E49:O49" si="23">E50+E51</f>
        <v>0</v>
      </c>
      <c r="F49" s="910">
        <f t="shared" si="23"/>
        <v>0</v>
      </c>
      <c r="G49" s="944">
        <f t="shared" si="23"/>
        <v>0</v>
      </c>
      <c r="H49" s="910">
        <f t="shared" si="23"/>
        <v>0</v>
      </c>
      <c r="I49" s="944">
        <f t="shared" si="23"/>
        <v>0</v>
      </c>
      <c r="J49" s="910">
        <f t="shared" si="23"/>
        <v>0</v>
      </c>
      <c r="K49" s="944">
        <f t="shared" si="23"/>
        <v>0</v>
      </c>
      <c r="L49" s="910">
        <f t="shared" si="23"/>
        <v>0</v>
      </c>
      <c r="M49" s="944">
        <f t="shared" si="23"/>
        <v>0</v>
      </c>
      <c r="N49" s="910">
        <f t="shared" si="23"/>
        <v>0</v>
      </c>
      <c r="O49" s="987">
        <f t="shared" si="23"/>
        <v>0</v>
      </c>
    </row>
    <row r="50" spans="1:19">
      <c r="A50" s="969"/>
      <c r="B50" s="979" t="s">
        <v>661</v>
      </c>
      <c r="C50" s="964"/>
      <c r="D50" s="988"/>
      <c r="E50" s="989"/>
      <c r="F50" s="988"/>
      <c r="G50" s="989"/>
      <c r="H50" s="988"/>
      <c r="I50" s="989"/>
      <c r="J50" s="988"/>
      <c r="K50" s="989"/>
      <c r="L50" s="988"/>
      <c r="M50" s="989"/>
      <c r="N50" s="988"/>
      <c r="O50" s="990"/>
    </row>
    <row r="51" spans="1:19">
      <c r="A51" s="969"/>
      <c r="B51" s="979" t="s">
        <v>662</v>
      </c>
      <c r="C51" s="964"/>
      <c r="D51" s="988"/>
      <c r="E51" s="989"/>
      <c r="F51" s="988"/>
      <c r="G51" s="989"/>
      <c r="H51" s="988"/>
      <c r="I51" s="989"/>
      <c r="J51" s="988"/>
      <c r="K51" s="989"/>
      <c r="L51" s="988"/>
      <c r="M51" s="989"/>
      <c r="N51" s="988"/>
      <c r="O51" s="990"/>
    </row>
    <row r="52" spans="1:19">
      <c r="A52" s="969" t="s">
        <v>248</v>
      </c>
      <c r="B52" s="964" t="s">
        <v>1014</v>
      </c>
      <c r="C52" s="964"/>
      <c r="D52" s="910">
        <f t="shared" ref="D52:O52" si="24">D53+D54</f>
        <v>2.3029999999999999</v>
      </c>
      <c r="E52" s="944">
        <f t="shared" si="24"/>
        <v>2.3746502614992622</v>
      </c>
      <c r="F52" s="910">
        <f t="shared" si="24"/>
        <v>0</v>
      </c>
      <c r="G52" s="944">
        <f t="shared" si="24"/>
        <v>0</v>
      </c>
      <c r="H52" s="910">
        <f t="shared" si="24"/>
        <v>1.167</v>
      </c>
      <c r="I52" s="944">
        <f t="shared" si="24"/>
        <v>1.167</v>
      </c>
      <c r="J52" s="910">
        <f t="shared" si="24"/>
        <v>0</v>
      </c>
      <c r="K52" s="944">
        <f t="shared" si="24"/>
        <v>0</v>
      </c>
      <c r="L52" s="910">
        <f t="shared" si="24"/>
        <v>0.41899999999999998</v>
      </c>
      <c r="M52" s="944">
        <f t="shared" si="24"/>
        <v>0.434</v>
      </c>
      <c r="N52" s="910">
        <f t="shared" si="24"/>
        <v>0</v>
      </c>
      <c r="O52" s="987">
        <f t="shared" si="24"/>
        <v>0</v>
      </c>
    </row>
    <row r="53" spans="1:19">
      <c r="A53" s="969"/>
      <c r="B53" s="979" t="s">
        <v>661</v>
      </c>
      <c r="C53" s="964"/>
      <c r="D53" s="988"/>
      <c r="E53" s="989"/>
      <c r="F53" s="988"/>
      <c r="G53" s="989"/>
      <c r="H53" s="988"/>
      <c r="I53" s="989"/>
      <c r="J53" s="988"/>
      <c r="K53" s="989"/>
      <c r="L53" s="988"/>
      <c r="M53" s="989"/>
      <c r="N53" s="988"/>
      <c r="O53" s="990"/>
    </row>
    <row r="54" spans="1:19">
      <c r="A54" s="969"/>
      <c r="B54" s="979" t="s">
        <v>662</v>
      </c>
      <c r="C54" s="964"/>
      <c r="D54" s="916">
        <v>2.3029999999999999</v>
      </c>
      <c r="E54" s="985">
        <v>2.3746502614992622</v>
      </c>
      <c r="F54" s="916"/>
      <c r="G54" s="985"/>
      <c r="H54" s="916">
        <v>1.167</v>
      </c>
      <c r="I54" s="916">
        <v>1.167</v>
      </c>
      <c r="J54" s="916"/>
      <c r="K54" s="985"/>
      <c r="L54" s="916">
        <v>0.41899999999999998</v>
      </c>
      <c r="M54" s="916">
        <v>0.434</v>
      </c>
      <c r="N54" s="916"/>
      <c r="O54" s="986"/>
    </row>
    <row r="55" spans="1:19">
      <c r="A55" s="969" t="s">
        <v>250</v>
      </c>
      <c r="B55" s="964" t="s">
        <v>1015</v>
      </c>
      <c r="C55" s="964"/>
      <c r="D55" s="910">
        <f t="shared" ref="D55:O55" si="25">D56+D57</f>
        <v>20.068000000000001</v>
      </c>
      <c r="E55" s="944">
        <f t="shared" si="25"/>
        <v>20.692349738500738</v>
      </c>
      <c r="F55" s="910">
        <f t="shared" si="25"/>
        <v>0</v>
      </c>
      <c r="G55" s="944">
        <f t="shared" si="25"/>
        <v>0</v>
      </c>
      <c r="H55" s="910">
        <f t="shared" si="25"/>
        <v>10.167999999999999</v>
      </c>
      <c r="I55" s="944">
        <f t="shared" si="25"/>
        <v>10.167999999999999</v>
      </c>
      <c r="J55" s="910">
        <f t="shared" si="25"/>
        <v>0</v>
      </c>
      <c r="K55" s="944">
        <f t="shared" si="25"/>
        <v>0</v>
      </c>
      <c r="L55" s="910">
        <f t="shared" si="25"/>
        <v>3.649</v>
      </c>
      <c r="M55" s="944">
        <f t="shared" si="25"/>
        <v>3.7645833333333338</v>
      </c>
      <c r="N55" s="910">
        <f t="shared" si="25"/>
        <v>0</v>
      </c>
      <c r="O55" s="987">
        <f t="shared" si="25"/>
        <v>0</v>
      </c>
    </row>
    <row r="56" spans="1:19">
      <c r="A56" s="969"/>
      <c r="B56" s="979" t="s">
        <v>661</v>
      </c>
      <c r="C56" s="964"/>
      <c r="D56" s="988"/>
      <c r="E56" s="985"/>
      <c r="F56" s="988"/>
      <c r="G56" s="985"/>
      <c r="H56" s="988"/>
      <c r="I56" s="985"/>
      <c r="J56" s="988"/>
      <c r="K56" s="985"/>
      <c r="L56" s="988"/>
      <c r="M56" s="985"/>
      <c r="N56" s="988"/>
      <c r="O56" s="986"/>
    </row>
    <row r="57" spans="1:19">
      <c r="A57" s="969"/>
      <c r="B57" s="979" t="s">
        <v>662</v>
      </c>
      <c r="C57" s="964"/>
      <c r="D57" s="916">
        <v>20.068000000000001</v>
      </c>
      <c r="E57" s="985">
        <v>20.692349738500738</v>
      </c>
      <c r="F57" s="916"/>
      <c r="G57" s="985"/>
      <c r="H57" s="916">
        <v>10.167999999999999</v>
      </c>
      <c r="I57" s="916">
        <v>10.167999999999999</v>
      </c>
      <c r="J57" s="916"/>
      <c r="K57" s="985"/>
      <c r="L57" s="916">
        <v>3.649</v>
      </c>
      <c r="M57" s="916">
        <v>3.7645833333333338</v>
      </c>
      <c r="N57" s="916"/>
      <c r="O57" s="986"/>
    </row>
    <row r="58" spans="1:19">
      <c r="A58" s="964" t="s">
        <v>251</v>
      </c>
      <c r="B58" s="964" t="s">
        <v>1016</v>
      </c>
      <c r="C58" s="964"/>
      <c r="D58" s="910">
        <f t="shared" ref="D58:O58" si="26">D59+D60</f>
        <v>22.371000000000002</v>
      </c>
      <c r="E58" s="944">
        <f t="shared" si="26"/>
        <v>23.067</v>
      </c>
      <c r="F58" s="910">
        <f t="shared" si="26"/>
        <v>0</v>
      </c>
      <c r="G58" s="944">
        <f t="shared" si="26"/>
        <v>0</v>
      </c>
      <c r="H58" s="910">
        <f t="shared" si="26"/>
        <v>11.334999999999999</v>
      </c>
      <c r="I58" s="944">
        <f t="shared" si="26"/>
        <v>11.334999999999999</v>
      </c>
      <c r="J58" s="910">
        <f t="shared" si="26"/>
        <v>0</v>
      </c>
      <c r="K58" s="944">
        <f t="shared" si="26"/>
        <v>0</v>
      </c>
      <c r="L58" s="910">
        <f t="shared" si="26"/>
        <v>4.0679999999999996</v>
      </c>
      <c r="M58" s="944">
        <f t="shared" si="26"/>
        <v>4.1985833333333336</v>
      </c>
      <c r="N58" s="910">
        <f t="shared" si="26"/>
        <v>0</v>
      </c>
      <c r="O58" s="987">
        <f t="shared" si="26"/>
        <v>0</v>
      </c>
    </row>
    <row r="59" spans="1:19">
      <c r="A59" s="969"/>
      <c r="B59" s="979" t="s">
        <v>661</v>
      </c>
      <c r="C59" s="964"/>
      <c r="D59" s="910">
        <f t="shared" ref="D59:O60" si="27">D47+D50+D53+D56</f>
        <v>0</v>
      </c>
      <c r="E59" s="944">
        <f t="shared" si="27"/>
        <v>0</v>
      </c>
      <c r="F59" s="910">
        <f t="shared" si="27"/>
        <v>0</v>
      </c>
      <c r="G59" s="944">
        <f t="shared" si="27"/>
        <v>0</v>
      </c>
      <c r="H59" s="910">
        <f t="shared" si="27"/>
        <v>0</v>
      </c>
      <c r="I59" s="944">
        <f t="shared" si="27"/>
        <v>0</v>
      </c>
      <c r="J59" s="910">
        <f t="shared" si="27"/>
        <v>0</v>
      </c>
      <c r="K59" s="944">
        <f t="shared" si="27"/>
        <v>0</v>
      </c>
      <c r="L59" s="910">
        <f t="shared" si="27"/>
        <v>0</v>
      </c>
      <c r="M59" s="944">
        <f t="shared" si="27"/>
        <v>0</v>
      </c>
      <c r="N59" s="910">
        <f t="shared" si="27"/>
        <v>0</v>
      </c>
      <c r="O59" s="987">
        <f t="shared" si="27"/>
        <v>0</v>
      </c>
    </row>
    <row r="60" spans="1:19" ht="13.5" thickBot="1">
      <c r="A60" s="975"/>
      <c r="B60" s="980" t="s">
        <v>662</v>
      </c>
      <c r="C60" s="981"/>
      <c r="D60" s="991">
        <f t="shared" si="27"/>
        <v>22.371000000000002</v>
      </c>
      <c r="E60" s="992">
        <f t="shared" si="27"/>
        <v>23.067</v>
      </c>
      <c r="F60" s="991">
        <f t="shared" si="27"/>
        <v>0</v>
      </c>
      <c r="G60" s="992">
        <f t="shared" si="27"/>
        <v>0</v>
      </c>
      <c r="H60" s="991">
        <f t="shared" si="27"/>
        <v>11.334999999999999</v>
      </c>
      <c r="I60" s="992">
        <f t="shared" si="27"/>
        <v>11.334999999999999</v>
      </c>
      <c r="J60" s="991">
        <f t="shared" si="27"/>
        <v>0</v>
      </c>
      <c r="K60" s="992">
        <f t="shared" si="27"/>
        <v>0</v>
      </c>
      <c r="L60" s="991">
        <f t="shared" si="27"/>
        <v>4.0679999999999996</v>
      </c>
      <c r="M60" s="992">
        <f t="shared" si="27"/>
        <v>4.1985833333333336</v>
      </c>
      <c r="N60" s="991">
        <f t="shared" si="27"/>
        <v>0</v>
      </c>
      <c r="O60" s="993">
        <f t="shared" si="27"/>
        <v>0</v>
      </c>
    </row>
    <row r="62" spans="1:19" ht="13.5" thickBot="1">
      <c r="A62" s="1654" t="s">
        <v>1017</v>
      </c>
      <c r="B62" s="1654"/>
      <c r="C62" s="1654"/>
      <c r="D62" s="1654"/>
      <c r="E62" s="1654"/>
      <c r="F62" s="1654"/>
      <c r="G62" s="1654"/>
      <c r="H62" s="1654"/>
      <c r="I62" s="1654"/>
      <c r="J62" s="1654"/>
      <c r="K62" s="1654"/>
      <c r="L62" s="1654"/>
      <c r="M62" s="1654"/>
      <c r="N62" s="1654"/>
      <c r="O62" s="1654"/>
    </row>
    <row r="63" spans="1:19" ht="71.25" customHeight="1" thickBot="1">
      <c r="A63" s="1667" t="s">
        <v>241</v>
      </c>
      <c r="B63" s="1667" t="s">
        <v>1005</v>
      </c>
      <c r="C63" s="1667"/>
      <c r="D63" s="1668" t="s">
        <v>1006</v>
      </c>
      <c r="E63" s="1668"/>
      <c r="F63" s="1668" t="s">
        <v>1007</v>
      </c>
      <c r="G63" s="1668"/>
      <c r="H63" s="1668" t="s">
        <v>1008</v>
      </c>
      <c r="I63" s="1668"/>
      <c r="J63" s="1668" t="s">
        <v>1009</v>
      </c>
      <c r="K63" s="1668"/>
      <c r="L63" s="1668" t="s">
        <v>1010</v>
      </c>
      <c r="M63" s="1668"/>
      <c r="N63" s="1668" t="s">
        <v>1011</v>
      </c>
      <c r="O63" s="1668"/>
      <c r="P63" s="1661" t="s">
        <v>1019</v>
      </c>
      <c r="Q63" s="1662"/>
      <c r="R63" s="1662"/>
      <c r="S63" s="1663"/>
    </row>
    <row r="64" spans="1:19" ht="45.75" thickBot="1">
      <c r="A64" s="1667" t="s">
        <v>993</v>
      </c>
      <c r="B64" s="1667"/>
      <c r="C64" s="1667"/>
      <c r="D64" s="958" t="s">
        <v>1032</v>
      </c>
      <c r="E64" s="958" t="s">
        <v>1033</v>
      </c>
      <c r="F64" s="889" t="s">
        <v>1032</v>
      </c>
      <c r="G64" s="889" t="s">
        <v>1033</v>
      </c>
      <c r="H64" s="958" t="s">
        <v>1032</v>
      </c>
      <c r="I64" s="958" t="s">
        <v>1033</v>
      </c>
      <c r="J64" s="889" t="s">
        <v>1032</v>
      </c>
      <c r="K64" s="889" t="s">
        <v>1033</v>
      </c>
      <c r="L64" s="958" t="s">
        <v>1032</v>
      </c>
      <c r="M64" s="958" t="s">
        <v>1033</v>
      </c>
      <c r="N64" s="889" t="s">
        <v>1032</v>
      </c>
      <c r="O64" s="889" t="s">
        <v>1033</v>
      </c>
      <c r="P64" s="1024" t="s">
        <v>993</v>
      </c>
      <c r="Q64" s="1664" t="s">
        <v>1023</v>
      </c>
      <c r="R64" s="1665"/>
      <c r="S64" s="8" t="s">
        <v>1022</v>
      </c>
    </row>
    <row r="65" spans="1:19">
      <c r="A65" s="998" t="s">
        <v>247</v>
      </c>
      <c r="B65" s="994" t="s">
        <v>1012</v>
      </c>
      <c r="C65" s="978"/>
      <c r="D65" s="1025">
        <f t="shared" ref="D65:O65" si="28">D66+D67</f>
        <v>0</v>
      </c>
      <c r="E65" s="1026">
        <f t="shared" si="28"/>
        <v>0</v>
      </c>
      <c r="F65" s="1025">
        <f t="shared" si="28"/>
        <v>0</v>
      </c>
      <c r="G65" s="1026">
        <f t="shared" si="28"/>
        <v>0</v>
      </c>
      <c r="H65" s="1025">
        <f t="shared" si="28"/>
        <v>0</v>
      </c>
      <c r="I65" s="1026">
        <f t="shared" si="28"/>
        <v>0</v>
      </c>
      <c r="J65" s="1025">
        <f t="shared" si="28"/>
        <v>0</v>
      </c>
      <c r="K65" s="1026">
        <f t="shared" si="28"/>
        <v>0</v>
      </c>
      <c r="L65" s="1025">
        <f t="shared" si="28"/>
        <v>0</v>
      </c>
      <c r="M65" s="1026">
        <f t="shared" si="28"/>
        <v>0</v>
      </c>
      <c r="N65" s="1025">
        <f t="shared" si="28"/>
        <v>0</v>
      </c>
      <c r="O65" s="1026">
        <f t="shared" si="28"/>
        <v>0</v>
      </c>
      <c r="P65" s="872"/>
      <c r="Q65" s="1655"/>
      <c r="R65" s="1656"/>
      <c r="S65" s="8"/>
    </row>
    <row r="66" spans="1:19">
      <c r="A66" s="999"/>
      <c r="B66" s="995" t="s">
        <v>661</v>
      </c>
      <c r="C66" s="964"/>
      <c r="D66" s="982"/>
      <c r="E66" s="983"/>
      <c r="F66" s="982"/>
      <c r="G66" s="983"/>
      <c r="H66" s="982"/>
      <c r="I66" s="983"/>
      <c r="J66" s="982"/>
      <c r="K66" s="983"/>
      <c r="L66" s="982"/>
      <c r="M66" s="983"/>
      <c r="N66" s="982"/>
      <c r="O66" s="984"/>
      <c r="P66" s="872">
        <v>1</v>
      </c>
      <c r="Q66" s="1655"/>
      <c r="R66" s="1656"/>
      <c r="S66" s="247"/>
    </row>
    <row r="67" spans="1:19">
      <c r="A67" s="999"/>
      <c r="B67" s="995" t="s">
        <v>662</v>
      </c>
      <c r="C67" s="964"/>
      <c r="D67" s="916"/>
      <c r="E67" s="985"/>
      <c r="F67" s="916"/>
      <c r="G67" s="985"/>
      <c r="H67" s="916"/>
      <c r="I67" s="985"/>
      <c r="J67" s="916"/>
      <c r="K67" s="985"/>
      <c r="L67" s="916"/>
      <c r="M67" s="985"/>
      <c r="N67" s="916"/>
      <c r="O67" s="986"/>
      <c r="P67" s="872">
        <v>2</v>
      </c>
      <c r="Q67" s="1655"/>
      <c r="R67" s="1656"/>
      <c r="S67" s="247"/>
    </row>
    <row r="68" spans="1:19">
      <c r="A68" s="999" t="s">
        <v>243</v>
      </c>
      <c r="B68" s="996" t="s">
        <v>1013</v>
      </c>
      <c r="C68" s="964"/>
      <c r="D68" s="910">
        <f t="shared" ref="D68:O68" si="29">D69+D70</f>
        <v>0</v>
      </c>
      <c r="E68" s="944">
        <f t="shared" si="29"/>
        <v>0</v>
      </c>
      <c r="F68" s="910">
        <f t="shared" si="29"/>
        <v>0</v>
      </c>
      <c r="G68" s="944">
        <f t="shared" si="29"/>
        <v>0</v>
      </c>
      <c r="H68" s="910">
        <f t="shared" si="29"/>
        <v>0</v>
      </c>
      <c r="I68" s="944">
        <f t="shared" si="29"/>
        <v>0</v>
      </c>
      <c r="J68" s="910">
        <f t="shared" si="29"/>
        <v>0</v>
      </c>
      <c r="K68" s="944">
        <f t="shared" si="29"/>
        <v>0</v>
      </c>
      <c r="L68" s="910">
        <f t="shared" si="29"/>
        <v>0</v>
      </c>
      <c r="M68" s="944">
        <f t="shared" si="29"/>
        <v>0</v>
      </c>
      <c r="N68" s="910">
        <f t="shared" si="29"/>
        <v>0</v>
      </c>
      <c r="O68" s="987">
        <f t="shared" si="29"/>
        <v>0</v>
      </c>
      <c r="P68" s="872">
        <v>3</v>
      </c>
      <c r="Q68" s="1655"/>
      <c r="R68" s="1656"/>
      <c r="S68" s="247"/>
    </row>
    <row r="69" spans="1:19">
      <c r="A69" s="999"/>
      <c r="B69" s="995" t="s">
        <v>661</v>
      </c>
      <c r="C69" s="964"/>
      <c r="D69" s="988"/>
      <c r="E69" s="989"/>
      <c r="F69" s="988"/>
      <c r="G69" s="989"/>
      <c r="H69" s="988"/>
      <c r="I69" s="989"/>
      <c r="J69" s="988"/>
      <c r="K69" s="989"/>
      <c r="L69" s="988"/>
      <c r="M69" s="989"/>
      <c r="N69" s="988"/>
      <c r="O69" s="990"/>
      <c r="P69" s="872">
        <v>4</v>
      </c>
      <c r="Q69" s="1655"/>
      <c r="R69" s="1656"/>
      <c r="S69" s="247"/>
    </row>
    <row r="70" spans="1:19">
      <c r="A70" s="999"/>
      <c r="B70" s="995" t="s">
        <v>662</v>
      </c>
      <c r="C70" s="964"/>
      <c r="D70" s="988"/>
      <c r="E70" s="989"/>
      <c r="F70" s="988"/>
      <c r="G70" s="989"/>
      <c r="H70" s="988"/>
      <c r="I70" s="989"/>
      <c r="J70" s="988"/>
      <c r="K70" s="989"/>
      <c r="L70" s="988"/>
      <c r="M70" s="989"/>
      <c r="N70" s="988"/>
      <c r="O70" s="990"/>
      <c r="P70" s="872">
        <v>5</v>
      </c>
      <c r="Q70" s="1655"/>
      <c r="R70" s="1656"/>
      <c r="S70" s="247"/>
    </row>
    <row r="71" spans="1:19">
      <c r="A71" s="999" t="s">
        <v>248</v>
      </c>
      <c r="B71" s="996" t="s">
        <v>1014</v>
      </c>
      <c r="C71" s="964"/>
      <c r="D71" s="910">
        <f t="shared" ref="D71:O71" si="30">D72+D73</f>
        <v>8.4749999999999996</v>
      </c>
      <c r="E71" s="944">
        <f t="shared" si="30"/>
        <v>8.7386717178490017</v>
      </c>
      <c r="F71" s="910">
        <f t="shared" si="30"/>
        <v>0</v>
      </c>
      <c r="G71" s="944">
        <f t="shared" si="30"/>
        <v>0</v>
      </c>
      <c r="H71" s="910">
        <f t="shared" si="30"/>
        <v>4.2939999999999996</v>
      </c>
      <c r="I71" s="944">
        <f t="shared" si="30"/>
        <v>4.2939999999999996</v>
      </c>
      <c r="J71" s="910">
        <f t="shared" si="30"/>
        <v>0</v>
      </c>
      <c r="K71" s="944">
        <f t="shared" si="30"/>
        <v>0</v>
      </c>
      <c r="L71" s="910">
        <f t="shared" si="30"/>
        <v>1.5409999999999999</v>
      </c>
      <c r="M71" s="944">
        <f t="shared" si="30"/>
        <v>1.591</v>
      </c>
      <c r="N71" s="910">
        <f t="shared" si="30"/>
        <v>0</v>
      </c>
      <c r="O71" s="987">
        <f t="shared" si="30"/>
        <v>0</v>
      </c>
      <c r="P71" s="872">
        <v>6</v>
      </c>
      <c r="Q71" s="1655"/>
      <c r="R71" s="1656"/>
      <c r="S71" s="247"/>
    </row>
    <row r="72" spans="1:19">
      <c r="A72" s="999"/>
      <c r="B72" s="995" t="s">
        <v>661</v>
      </c>
      <c r="C72" s="964"/>
      <c r="D72" s="988"/>
      <c r="E72" s="989"/>
      <c r="F72" s="988"/>
      <c r="G72" s="989"/>
      <c r="H72" s="988"/>
      <c r="I72" s="989"/>
      <c r="J72" s="988"/>
      <c r="K72" s="989"/>
      <c r="L72" s="988"/>
      <c r="M72" s="989"/>
      <c r="N72" s="988"/>
      <c r="O72" s="990"/>
      <c r="P72" s="872">
        <v>7</v>
      </c>
      <c r="Q72" s="1655"/>
      <c r="R72" s="1656"/>
      <c r="S72" s="247"/>
    </row>
    <row r="73" spans="1:19">
      <c r="A73" s="999"/>
      <c r="B73" s="995" t="s">
        <v>662</v>
      </c>
      <c r="C73" s="964"/>
      <c r="D73" s="916">
        <v>8.4749999999999996</v>
      </c>
      <c r="E73" s="985">
        <v>8.7386717178490017</v>
      </c>
      <c r="F73" s="916"/>
      <c r="G73" s="985"/>
      <c r="H73" s="916">
        <v>4.2939999999999996</v>
      </c>
      <c r="I73" s="985">
        <v>4.2939999999999996</v>
      </c>
      <c r="J73" s="916"/>
      <c r="K73" s="985"/>
      <c r="L73" s="916">
        <v>1.5409999999999999</v>
      </c>
      <c r="M73" s="985">
        <v>1.591</v>
      </c>
      <c r="N73" s="916"/>
      <c r="O73" s="986"/>
      <c r="P73" s="872">
        <v>8</v>
      </c>
      <c r="Q73" s="1655"/>
      <c r="R73" s="1656"/>
      <c r="S73" s="247"/>
    </row>
    <row r="74" spans="1:19">
      <c r="A74" s="999" t="s">
        <v>250</v>
      </c>
      <c r="B74" s="996" t="s">
        <v>1015</v>
      </c>
      <c r="C74" s="964"/>
      <c r="D74" s="910">
        <f t="shared" ref="D74:O74" si="31">D75+D76</f>
        <v>13.895999999999999</v>
      </c>
      <c r="E74" s="944">
        <f t="shared" si="31"/>
        <v>14.328328282150999</v>
      </c>
      <c r="F74" s="910">
        <f t="shared" si="31"/>
        <v>0</v>
      </c>
      <c r="G74" s="944">
        <f t="shared" si="31"/>
        <v>0</v>
      </c>
      <c r="H74" s="910">
        <f t="shared" si="31"/>
        <v>7.0410000000000004</v>
      </c>
      <c r="I74" s="944">
        <f t="shared" si="31"/>
        <v>7.0410000000000004</v>
      </c>
      <c r="J74" s="910">
        <f t="shared" si="31"/>
        <v>0</v>
      </c>
      <c r="K74" s="944">
        <f t="shared" si="31"/>
        <v>0</v>
      </c>
      <c r="L74" s="910">
        <f t="shared" si="31"/>
        <v>2.5270000000000001</v>
      </c>
      <c r="M74" s="944">
        <f t="shared" si="31"/>
        <v>2.6075833333333338</v>
      </c>
      <c r="N74" s="910">
        <f t="shared" si="31"/>
        <v>0</v>
      </c>
      <c r="O74" s="987">
        <f t="shared" si="31"/>
        <v>0</v>
      </c>
      <c r="P74" s="872">
        <v>9</v>
      </c>
      <c r="Q74" s="1655"/>
      <c r="R74" s="1656"/>
      <c r="S74" s="247"/>
    </row>
    <row r="75" spans="1:19">
      <c r="A75" s="999"/>
      <c r="B75" s="995" t="s">
        <v>661</v>
      </c>
      <c r="C75" s="964"/>
      <c r="D75" s="988"/>
      <c r="E75" s="985"/>
      <c r="F75" s="988"/>
      <c r="G75" s="985"/>
      <c r="H75" s="988"/>
      <c r="I75" s="985"/>
      <c r="J75" s="988"/>
      <c r="K75" s="985"/>
      <c r="L75" s="988"/>
      <c r="M75" s="985"/>
      <c r="N75" s="988"/>
      <c r="O75" s="986"/>
      <c r="P75" s="872">
        <v>10</v>
      </c>
      <c r="Q75" s="1655"/>
      <c r="R75" s="1656"/>
      <c r="S75" s="247"/>
    </row>
    <row r="76" spans="1:19">
      <c r="A76" s="999"/>
      <c r="B76" s="995" t="s">
        <v>662</v>
      </c>
      <c r="C76" s="964"/>
      <c r="D76" s="916">
        <v>13.895999999999999</v>
      </c>
      <c r="E76" s="985">
        <v>14.328328282150999</v>
      </c>
      <c r="F76" s="916"/>
      <c r="G76" s="985"/>
      <c r="H76" s="985">
        <v>7.0410000000000004</v>
      </c>
      <c r="I76" s="985">
        <v>7.0410000000000004</v>
      </c>
      <c r="J76" s="916"/>
      <c r="K76" s="985"/>
      <c r="L76" s="916">
        <v>2.5270000000000001</v>
      </c>
      <c r="M76" s="985">
        <v>2.6075833333333338</v>
      </c>
      <c r="N76" s="916"/>
      <c r="O76" s="986"/>
      <c r="P76" s="872">
        <v>11</v>
      </c>
      <c r="Q76" s="1655"/>
      <c r="R76" s="1656"/>
      <c r="S76" s="247"/>
    </row>
    <row r="77" spans="1:19">
      <c r="A77" s="996" t="s">
        <v>251</v>
      </c>
      <c r="B77" s="996" t="s">
        <v>1016</v>
      </c>
      <c r="C77" s="964"/>
      <c r="D77" s="910">
        <f t="shared" ref="D77:O77" si="32">D78+D79</f>
        <v>22.370999999999999</v>
      </c>
      <c r="E77" s="944">
        <f t="shared" si="32"/>
        <v>23.067</v>
      </c>
      <c r="F77" s="910">
        <f t="shared" si="32"/>
        <v>0</v>
      </c>
      <c r="G77" s="944">
        <f t="shared" si="32"/>
        <v>0</v>
      </c>
      <c r="H77" s="910">
        <f t="shared" si="32"/>
        <v>11.335000000000001</v>
      </c>
      <c r="I77" s="944">
        <f t="shared" si="32"/>
        <v>11.335000000000001</v>
      </c>
      <c r="J77" s="910">
        <f t="shared" si="32"/>
        <v>0</v>
      </c>
      <c r="K77" s="944">
        <f t="shared" si="32"/>
        <v>0</v>
      </c>
      <c r="L77" s="910">
        <f>L78+L79</f>
        <v>4.0679999999999996</v>
      </c>
      <c r="M77" s="944">
        <f t="shared" si="32"/>
        <v>4.1985833333333336</v>
      </c>
      <c r="N77" s="910">
        <f t="shared" si="32"/>
        <v>0</v>
      </c>
      <c r="O77" s="987">
        <f t="shared" si="32"/>
        <v>0</v>
      </c>
      <c r="P77" s="872">
        <v>12</v>
      </c>
      <c r="Q77" s="1655"/>
      <c r="R77" s="1656"/>
      <c r="S77" s="247"/>
    </row>
    <row r="78" spans="1:19">
      <c r="A78" s="999"/>
      <c r="B78" s="995" t="s">
        <v>661</v>
      </c>
      <c r="C78" s="964"/>
      <c r="D78" s="910">
        <f t="shared" ref="D78:O79" si="33">D66+D69+D72+D75</f>
        <v>0</v>
      </c>
      <c r="E78" s="944">
        <f t="shared" si="33"/>
        <v>0</v>
      </c>
      <c r="F78" s="910">
        <f t="shared" si="33"/>
        <v>0</v>
      </c>
      <c r="G78" s="944">
        <f t="shared" si="33"/>
        <v>0</v>
      </c>
      <c r="H78" s="910">
        <f t="shared" si="33"/>
        <v>0</v>
      </c>
      <c r="I78" s="944">
        <f t="shared" si="33"/>
        <v>0</v>
      </c>
      <c r="J78" s="910">
        <f t="shared" si="33"/>
        <v>0</v>
      </c>
      <c r="K78" s="944">
        <f t="shared" si="33"/>
        <v>0</v>
      </c>
      <c r="L78" s="910">
        <f t="shared" si="33"/>
        <v>0</v>
      </c>
      <c r="M78" s="944">
        <f t="shared" si="33"/>
        <v>0</v>
      </c>
      <c r="N78" s="910">
        <f t="shared" si="33"/>
        <v>0</v>
      </c>
      <c r="O78" s="987">
        <f t="shared" si="33"/>
        <v>0</v>
      </c>
      <c r="P78" s="872">
        <v>13</v>
      </c>
      <c r="Q78" s="1655"/>
      <c r="R78" s="1656"/>
      <c r="S78" s="247"/>
    </row>
    <row r="79" spans="1:19" ht="13.5" thickBot="1">
      <c r="A79" s="1000"/>
      <c r="B79" s="997" t="s">
        <v>662</v>
      </c>
      <c r="C79" s="981"/>
      <c r="D79" s="991">
        <f t="shared" si="33"/>
        <v>22.370999999999999</v>
      </c>
      <c r="E79" s="992">
        <f t="shared" si="33"/>
        <v>23.067</v>
      </c>
      <c r="F79" s="991">
        <f t="shared" si="33"/>
        <v>0</v>
      </c>
      <c r="G79" s="992">
        <f t="shared" si="33"/>
        <v>0</v>
      </c>
      <c r="H79" s="991">
        <f t="shared" si="33"/>
        <v>11.335000000000001</v>
      </c>
      <c r="I79" s="992">
        <f t="shared" si="33"/>
        <v>11.335000000000001</v>
      </c>
      <c r="J79" s="991">
        <f t="shared" si="33"/>
        <v>0</v>
      </c>
      <c r="K79" s="992">
        <f t="shared" si="33"/>
        <v>0</v>
      </c>
      <c r="L79" s="991">
        <f t="shared" si="33"/>
        <v>4.0679999999999996</v>
      </c>
      <c r="M79" s="992">
        <f t="shared" si="33"/>
        <v>4.1985833333333336</v>
      </c>
      <c r="N79" s="991">
        <f t="shared" si="33"/>
        <v>0</v>
      </c>
      <c r="O79" s="993">
        <f t="shared" si="33"/>
        <v>0</v>
      </c>
      <c r="P79" s="872">
        <v>14</v>
      </c>
      <c r="Q79" s="1655"/>
      <c r="R79" s="1656"/>
      <c r="S79" s="247"/>
    </row>
    <row r="81" spans="1:9" ht="36.75" customHeight="1" thickBot="1">
      <c r="A81" s="1001" t="s">
        <v>250</v>
      </c>
      <c r="B81" s="1001" t="s">
        <v>1018</v>
      </c>
      <c r="C81" s="1001"/>
      <c r="D81" s="953"/>
      <c r="E81" s="953"/>
      <c r="F81" s="953"/>
      <c r="G81" s="895"/>
      <c r="H81" s="895"/>
      <c r="I81" s="895"/>
    </row>
    <row r="82" spans="1:9" ht="63.75" customHeight="1">
      <c r="A82" s="960" t="s">
        <v>993</v>
      </c>
      <c r="B82" s="1698" t="s">
        <v>1020</v>
      </c>
      <c r="C82" s="1699"/>
      <c r="D82" s="1699"/>
      <c r="E82" s="1699"/>
      <c r="F82" s="1700" t="s">
        <v>1021</v>
      </c>
      <c r="G82" s="1700"/>
      <c r="H82" s="1700" t="s">
        <v>1022</v>
      </c>
      <c r="I82" s="1700"/>
    </row>
    <row r="83" spans="1:9">
      <c r="A83" s="1002">
        <v>1</v>
      </c>
      <c r="B83" s="1672" t="s">
        <v>1113</v>
      </c>
      <c r="C83" s="1673"/>
      <c r="D83" s="1673"/>
      <c r="E83" s="1674"/>
      <c r="F83" s="1675">
        <v>18.2606</v>
      </c>
      <c r="G83" s="1675"/>
      <c r="H83" s="1675">
        <v>6.8450199999999999</v>
      </c>
      <c r="I83" s="1675"/>
    </row>
    <row r="84" spans="1:9">
      <c r="A84" s="1003">
        <v>2</v>
      </c>
      <c r="B84" s="1672" t="s">
        <v>1106</v>
      </c>
      <c r="C84" s="1673"/>
      <c r="D84" s="1673"/>
      <c r="E84" s="1673"/>
      <c r="F84" s="1675">
        <v>3.516</v>
      </c>
      <c r="G84" s="1675"/>
      <c r="H84" s="1675">
        <v>2.8104</v>
      </c>
      <c r="I84" s="1675"/>
    </row>
    <row r="85" spans="1:9">
      <c r="A85" s="1002">
        <v>3</v>
      </c>
      <c r="B85" s="1672" t="s">
        <v>1114</v>
      </c>
      <c r="C85" s="1673"/>
      <c r="D85" s="1673"/>
      <c r="E85" s="1673"/>
      <c r="F85" s="1675">
        <v>0.4</v>
      </c>
      <c r="G85" s="1675"/>
      <c r="H85" s="1675">
        <v>0.1545</v>
      </c>
      <c r="I85" s="1675"/>
    </row>
    <row r="86" spans="1:9">
      <c r="A86" s="1003">
        <v>4</v>
      </c>
      <c r="B86" s="1672" t="s">
        <v>1107</v>
      </c>
      <c r="C86" s="1673"/>
      <c r="D86" s="1673"/>
      <c r="E86" s="1674"/>
      <c r="F86" s="1675">
        <v>4.5199999999999996</v>
      </c>
      <c r="G86" s="1675"/>
      <c r="H86" s="1675">
        <v>1.5254485965592013</v>
      </c>
      <c r="I86" s="1675"/>
    </row>
    <row r="87" spans="1:9" ht="13.5" thickBot="1">
      <c r="A87" s="1004"/>
      <c r="B87" s="1676" t="s">
        <v>1115</v>
      </c>
      <c r="C87" s="1677"/>
      <c r="D87" s="1677"/>
      <c r="E87" s="1678"/>
      <c r="F87" s="1679">
        <f>SUM(F83:G86)</f>
        <v>26.6966</v>
      </c>
      <c r="G87" s="1680"/>
      <c r="H87" s="1679">
        <f>SUM(H83:I86)</f>
        <v>11.335368596559201</v>
      </c>
      <c r="I87" s="1680"/>
    </row>
    <row r="88" spans="1:9">
      <c r="A88" t="s">
        <v>1024</v>
      </c>
    </row>
    <row r="89" spans="1:9">
      <c r="A89" t="s">
        <v>1025</v>
      </c>
    </row>
    <row r="91" spans="1:9">
      <c r="B91" t="s">
        <v>1026</v>
      </c>
    </row>
    <row r="93" spans="1:9">
      <c r="B93" t="s">
        <v>1027</v>
      </c>
    </row>
    <row r="95" spans="1:9">
      <c r="B95" t="s">
        <v>1028</v>
      </c>
    </row>
    <row r="97" spans="1:22">
      <c r="B97" t="s">
        <v>1029</v>
      </c>
    </row>
    <row r="100" spans="1:22" s="895" customFormat="1">
      <c r="A100" s="896"/>
      <c r="B100" s="896" t="s">
        <v>1110</v>
      </c>
      <c r="C100" s="896"/>
      <c r="D100" s="896"/>
      <c r="E100" s="896"/>
      <c r="F100" s="896"/>
      <c r="G100" s="896"/>
      <c r="H100" s="896"/>
      <c r="I100" s="896"/>
      <c r="J100" s="896"/>
      <c r="K100" s="896"/>
      <c r="L100" s="896"/>
      <c r="M100" s="896"/>
      <c r="N100" s="896"/>
      <c r="O100" s="896"/>
      <c r="P100" s="896"/>
      <c r="Q100" s="896"/>
      <c r="R100" s="896"/>
      <c r="S100" s="896"/>
      <c r="T100" s="896"/>
      <c r="V100" s="896"/>
    </row>
    <row r="101" spans="1:22" s="895" customFormat="1">
      <c r="A101" s="896"/>
      <c r="B101" s="896"/>
      <c r="C101" s="896"/>
      <c r="D101" s="896"/>
      <c r="E101" s="896"/>
      <c r="F101" s="896"/>
      <c r="G101" s="896"/>
      <c r="H101" s="896"/>
      <c r="I101" s="896"/>
      <c r="J101" s="896"/>
      <c r="K101" s="896"/>
      <c r="L101" s="896"/>
      <c r="M101" s="896"/>
      <c r="N101" s="896"/>
      <c r="O101" s="896"/>
      <c r="P101" s="896"/>
      <c r="Q101" s="896"/>
      <c r="R101" s="896"/>
      <c r="S101" s="896"/>
      <c r="T101" s="896"/>
      <c r="V101" s="896"/>
    </row>
    <row r="102" spans="1:22" s="895" customFormat="1">
      <c r="A102" s="896"/>
      <c r="B102" s="1005" t="s">
        <v>1116</v>
      </c>
      <c r="C102" s="896"/>
      <c r="D102" s="896"/>
      <c r="E102" s="896"/>
      <c r="F102" s="896"/>
      <c r="G102" s="896"/>
      <c r="H102" s="896"/>
      <c r="I102" s="896"/>
      <c r="J102" s="896"/>
      <c r="K102" s="896"/>
      <c r="L102" s="896"/>
      <c r="M102" s="896"/>
      <c r="N102" s="896"/>
      <c r="O102" s="896"/>
      <c r="P102" s="896"/>
      <c r="Q102" s="896"/>
      <c r="R102" s="896"/>
      <c r="S102" s="896"/>
      <c r="T102" s="896"/>
      <c r="V102" s="896"/>
    </row>
    <row r="103" spans="1:22" s="895" customFormat="1">
      <c r="A103" s="896"/>
      <c r="B103" s="896" t="s">
        <v>1117</v>
      </c>
      <c r="C103" s="1006">
        <f>E8/D8-1</f>
        <v>2.0905194940934457E-4</v>
      </c>
      <c r="D103" s="896"/>
      <c r="E103" s="896"/>
      <c r="F103" s="896"/>
      <c r="G103" s="896"/>
      <c r="H103" s="896"/>
      <c r="I103" s="896"/>
      <c r="J103" s="896"/>
      <c r="K103" s="896"/>
      <c r="L103" s="896"/>
      <c r="M103" s="896"/>
      <c r="N103" s="896"/>
      <c r="O103" s="896"/>
      <c r="P103" s="896"/>
      <c r="Q103" s="896"/>
      <c r="R103" s="896"/>
      <c r="S103" s="896"/>
      <c r="T103" s="896"/>
      <c r="V103" s="896"/>
    </row>
    <row r="104" spans="1:22" s="895" customFormat="1">
      <c r="A104" s="896"/>
      <c r="B104" s="896" t="s">
        <v>1118</v>
      </c>
      <c r="C104" s="1007"/>
      <c r="D104" s="1007" t="str">
        <f t="shared" ref="D104:S104" si="34">IF(D8=D9+D13,"Ок","Ошибка")</f>
        <v>Ок</v>
      </c>
      <c r="E104" s="1007" t="str">
        <f t="shared" si="34"/>
        <v>Ок</v>
      </c>
      <c r="F104" s="1007" t="str">
        <f t="shared" si="34"/>
        <v>Ок</v>
      </c>
      <c r="G104" s="1007" t="str">
        <f t="shared" si="34"/>
        <v>Ок</v>
      </c>
      <c r="H104" s="1007" t="str">
        <f t="shared" si="34"/>
        <v>Ок</v>
      </c>
      <c r="I104" s="1007" t="str">
        <f t="shared" si="34"/>
        <v>Ок</v>
      </c>
      <c r="J104" s="1007" t="str">
        <f t="shared" si="34"/>
        <v>Ок</v>
      </c>
      <c r="K104" s="1007" t="str">
        <f t="shared" si="34"/>
        <v>Ок</v>
      </c>
      <c r="L104" s="1007" t="str">
        <f t="shared" si="34"/>
        <v>Ок</v>
      </c>
      <c r="M104" s="1007" t="str">
        <f t="shared" si="34"/>
        <v>Ок</v>
      </c>
      <c r="N104" s="1007" t="str">
        <f t="shared" si="34"/>
        <v>Ок</v>
      </c>
      <c r="O104" s="1007" t="str">
        <f t="shared" si="34"/>
        <v>Ок</v>
      </c>
      <c r="P104" s="1007" t="str">
        <f t="shared" si="34"/>
        <v>Ок</v>
      </c>
      <c r="Q104" s="1007" t="str">
        <f t="shared" si="34"/>
        <v>Ок</v>
      </c>
      <c r="R104" s="1007" t="str">
        <f t="shared" si="34"/>
        <v>Ок</v>
      </c>
      <c r="S104" s="1007" t="str">
        <f t="shared" si="34"/>
        <v>Ок</v>
      </c>
      <c r="T104" s="1007" t="str">
        <f>IF(T8=T9+T13+T16,"Ок","Ошибка")</f>
        <v>Ок</v>
      </c>
      <c r="V104" s="896"/>
    </row>
    <row r="105" spans="1:22" s="895" customFormat="1">
      <c r="A105" s="896"/>
      <c r="B105" s="896" t="s">
        <v>1119</v>
      </c>
      <c r="C105" s="1007"/>
      <c r="D105" s="1007" t="str">
        <f>IF(D9=D10+D11,"Ок","Ошибка")</f>
        <v>Ок</v>
      </c>
      <c r="E105" s="1007" t="str">
        <f t="shared" ref="E105:S105" si="35">IF(E9=E10+E11,"Ок","Ошибка")</f>
        <v>Ок</v>
      </c>
      <c r="F105" s="1007" t="str">
        <f t="shared" si="35"/>
        <v>Ок</v>
      </c>
      <c r="G105" s="1007" t="str">
        <f t="shared" si="35"/>
        <v>Ок</v>
      </c>
      <c r="H105" s="1007" t="str">
        <f t="shared" si="35"/>
        <v>Ок</v>
      </c>
      <c r="I105" s="1007" t="str">
        <f t="shared" si="35"/>
        <v>Ок</v>
      </c>
      <c r="J105" s="1007" t="str">
        <f t="shared" si="35"/>
        <v>Ок</v>
      </c>
      <c r="K105" s="1007" t="str">
        <f t="shared" si="35"/>
        <v>Ок</v>
      </c>
      <c r="L105" s="1007" t="str">
        <f t="shared" si="35"/>
        <v>Ок</v>
      </c>
      <c r="M105" s="1007" t="str">
        <f t="shared" si="35"/>
        <v>Ок</v>
      </c>
      <c r="N105" s="1007" t="str">
        <f t="shared" si="35"/>
        <v>Ок</v>
      </c>
      <c r="O105" s="1007" t="str">
        <f t="shared" si="35"/>
        <v>Ок</v>
      </c>
      <c r="P105" s="1007" t="str">
        <f t="shared" si="35"/>
        <v>Ок</v>
      </c>
      <c r="Q105" s="1007" t="str">
        <f t="shared" si="35"/>
        <v>Ок</v>
      </c>
      <c r="R105" s="1007" t="str">
        <f t="shared" si="35"/>
        <v>Ок</v>
      </c>
      <c r="S105" s="1007" t="str">
        <f t="shared" si="35"/>
        <v>Ок</v>
      </c>
      <c r="T105" s="1007" t="str">
        <f>IF(T9=T10+T11,"Ок","Ошибка")</f>
        <v>Ок</v>
      </c>
      <c r="V105" s="896"/>
    </row>
    <row r="106" spans="1:22" s="895" customFormat="1">
      <c r="A106" s="896"/>
      <c r="B106" s="896" t="s">
        <v>1120</v>
      </c>
      <c r="C106" s="896"/>
      <c r="D106" s="1007" t="str">
        <f t="shared" ref="D106:S106" si="36">IF(D13=D14+D15,"Ок","Ошибка")</f>
        <v>Ок</v>
      </c>
      <c r="E106" s="1007" t="str">
        <f t="shared" si="36"/>
        <v>Ок</v>
      </c>
      <c r="F106" s="1007" t="str">
        <f t="shared" si="36"/>
        <v>Ок</v>
      </c>
      <c r="G106" s="1007" t="str">
        <f t="shared" si="36"/>
        <v>Ок</v>
      </c>
      <c r="H106" s="1007" t="str">
        <f t="shared" si="36"/>
        <v>Ок</v>
      </c>
      <c r="I106" s="1007" t="str">
        <f t="shared" si="36"/>
        <v>Ок</v>
      </c>
      <c r="J106" s="1007" t="str">
        <f t="shared" si="36"/>
        <v>Ок</v>
      </c>
      <c r="K106" s="1007" t="str">
        <f t="shared" si="36"/>
        <v>Ок</v>
      </c>
      <c r="L106" s="1007" t="str">
        <f t="shared" si="36"/>
        <v>Ок</v>
      </c>
      <c r="M106" s="1007" t="str">
        <f t="shared" si="36"/>
        <v>Ок</v>
      </c>
      <c r="N106" s="1007" t="str">
        <f t="shared" si="36"/>
        <v>Ок</v>
      </c>
      <c r="O106" s="1007" t="str">
        <f t="shared" si="36"/>
        <v>Ок</v>
      </c>
      <c r="P106" s="1007" t="str">
        <f t="shared" si="36"/>
        <v>Ок</v>
      </c>
      <c r="Q106" s="1007" t="str">
        <f t="shared" si="36"/>
        <v>Ок</v>
      </c>
      <c r="R106" s="1007" t="str">
        <f t="shared" si="36"/>
        <v>Ок</v>
      </c>
      <c r="S106" s="1007" t="str">
        <f t="shared" si="36"/>
        <v>Ок</v>
      </c>
      <c r="T106" s="1007" t="str">
        <f>IF(T13=T14+T15,"Ок","Ошибка")</f>
        <v>Ок</v>
      </c>
      <c r="V106" s="896"/>
    </row>
    <row r="107" spans="1:22" s="895" customFormat="1">
      <c r="A107" s="896"/>
      <c r="B107" s="896" t="s">
        <v>1121</v>
      </c>
      <c r="C107" s="896"/>
      <c r="D107" s="1007" t="str">
        <f>IF(D8=N31,"Ок","Ошибка")</f>
        <v>Ок</v>
      </c>
      <c r="E107" s="1007" t="str">
        <f>IF(E8=O31,"Ок","Ошибка")</f>
        <v>Ок</v>
      </c>
      <c r="F107" s="896"/>
      <c r="G107" s="896"/>
      <c r="H107" s="896"/>
      <c r="I107" s="896"/>
      <c r="J107" s="896"/>
      <c r="K107" s="896"/>
      <c r="L107" s="896"/>
      <c r="M107" s="896"/>
      <c r="N107" s="896"/>
      <c r="O107" s="896"/>
      <c r="P107" s="896"/>
      <c r="Q107" s="896"/>
      <c r="R107" s="896"/>
      <c r="S107" s="896"/>
      <c r="T107" s="896"/>
      <c r="V107" s="896"/>
    </row>
    <row r="108" spans="1:22" s="895" customFormat="1">
      <c r="A108" s="896"/>
      <c r="B108" s="896" t="s">
        <v>1122</v>
      </c>
      <c r="C108" s="896"/>
      <c r="D108" s="1007" t="str">
        <f t="shared" ref="D108:E110" si="37">IF(D13=D58,"Ок","Ошибка")</f>
        <v>Ок</v>
      </c>
      <c r="E108" s="1007" t="str">
        <f t="shared" si="37"/>
        <v>Ок</v>
      </c>
      <c r="F108" s="1007" t="str">
        <f t="shared" ref="F108:I110" si="38">IF(D58=D77,"Ок","Ошибка")</f>
        <v>Ок</v>
      </c>
      <c r="G108" s="1007" t="str">
        <f t="shared" si="38"/>
        <v>Ок</v>
      </c>
      <c r="H108" s="1007" t="str">
        <f t="shared" si="38"/>
        <v>Ок</v>
      </c>
      <c r="I108" s="1007" t="str">
        <f t="shared" si="38"/>
        <v>Ок</v>
      </c>
      <c r="J108" s="1007" t="str">
        <f>IF(D16=F58,"Ок","Ошибка")</f>
        <v>Ок</v>
      </c>
      <c r="K108" s="1007" t="str">
        <f>IF(E16=G58,"Ок","Ошибка")</f>
        <v>Ок</v>
      </c>
      <c r="L108" s="896"/>
      <c r="M108" s="896"/>
      <c r="N108" s="896"/>
      <c r="O108" s="896"/>
      <c r="P108" s="896"/>
      <c r="Q108" s="896"/>
      <c r="R108" s="896"/>
      <c r="S108" s="896"/>
      <c r="T108" s="896"/>
      <c r="V108" s="896"/>
    </row>
    <row r="109" spans="1:22" s="895" customFormat="1">
      <c r="A109" s="896"/>
      <c r="B109" s="896" t="s">
        <v>1123</v>
      </c>
      <c r="C109" s="896"/>
      <c r="D109" s="1007" t="str">
        <f t="shared" si="37"/>
        <v>Ок</v>
      </c>
      <c r="E109" s="1007" t="str">
        <f t="shared" si="37"/>
        <v>Ок</v>
      </c>
      <c r="F109" s="1007" t="str">
        <f t="shared" si="38"/>
        <v>Ок</v>
      </c>
      <c r="G109" s="1007" t="str">
        <f t="shared" si="38"/>
        <v>Ок</v>
      </c>
      <c r="H109" s="1007" t="str">
        <f t="shared" si="38"/>
        <v>Ок</v>
      </c>
      <c r="I109" s="1007" t="str">
        <f t="shared" si="38"/>
        <v>Ок</v>
      </c>
      <c r="J109" s="1007" t="str">
        <f>IF(F58=F77,"Ок","Ошибка")</f>
        <v>Ок</v>
      </c>
      <c r="K109" s="1007" t="str">
        <f>IF(G58=G77,"Ок","Ошибка")</f>
        <v>Ок</v>
      </c>
      <c r="L109" s="896"/>
      <c r="M109" s="896"/>
      <c r="N109" s="896"/>
      <c r="O109" s="896"/>
      <c r="P109" s="896"/>
      <c r="Q109" s="896"/>
      <c r="R109" s="896"/>
      <c r="S109" s="896"/>
      <c r="T109" s="896"/>
      <c r="V109" s="896"/>
    </row>
    <row r="110" spans="1:22" s="895" customFormat="1">
      <c r="A110" s="896"/>
      <c r="B110" s="896" t="s">
        <v>1124</v>
      </c>
      <c r="C110" s="896"/>
      <c r="D110" s="1007" t="str">
        <f t="shared" si="37"/>
        <v>Ок</v>
      </c>
      <c r="E110" s="1007" t="str">
        <f t="shared" si="37"/>
        <v>Ок</v>
      </c>
      <c r="F110" s="1007" t="str">
        <f t="shared" si="38"/>
        <v>Ок</v>
      </c>
      <c r="G110" s="1007" t="str">
        <f t="shared" si="38"/>
        <v>Ок</v>
      </c>
      <c r="H110" s="1007" t="str">
        <f t="shared" si="38"/>
        <v>Ок</v>
      </c>
      <c r="I110" s="1007" t="str">
        <f t="shared" si="38"/>
        <v>Ок</v>
      </c>
      <c r="J110" s="1007"/>
      <c r="K110" s="1007"/>
      <c r="L110" s="896"/>
      <c r="M110" s="896"/>
      <c r="N110" s="896"/>
      <c r="O110" s="896"/>
      <c r="P110" s="896"/>
      <c r="Q110" s="896"/>
      <c r="R110" s="896"/>
      <c r="S110" s="896"/>
      <c r="T110" s="896"/>
      <c r="V110" s="896"/>
    </row>
    <row r="111" spans="1:22" s="895" customFormat="1">
      <c r="A111" s="896"/>
      <c r="B111" s="896"/>
      <c r="C111" s="896"/>
      <c r="D111" s="896"/>
      <c r="E111" s="896"/>
      <c r="F111" s="896"/>
      <c r="G111" s="896"/>
      <c r="H111" s="896"/>
      <c r="I111" s="896"/>
      <c r="J111" s="896"/>
      <c r="K111" s="896"/>
      <c r="L111" s="896"/>
      <c r="M111" s="896"/>
      <c r="N111" s="896"/>
      <c r="O111" s="896"/>
      <c r="P111" s="896"/>
      <c r="Q111" s="896"/>
      <c r="R111" s="896"/>
      <c r="S111" s="896"/>
      <c r="T111" s="896"/>
      <c r="V111" s="896"/>
    </row>
    <row r="112" spans="1:22" s="895" customFormat="1">
      <c r="A112" s="896"/>
      <c r="B112" s="1005" t="s">
        <v>989</v>
      </c>
      <c r="C112" s="896"/>
      <c r="D112" s="896"/>
      <c r="E112" s="896"/>
      <c r="F112" s="896"/>
      <c r="G112" s="896"/>
      <c r="H112" s="896"/>
      <c r="I112" s="896"/>
      <c r="J112" s="896"/>
      <c r="K112" s="896"/>
      <c r="L112" s="896"/>
      <c r="M112" s="896"/>
      <c r="N112" s="896"/>
      <c r="O112" s="896"/>
      <c r="P112" s="896"/>
      <c r="Q112" s="896"/>
      <c r="R112" s="896"/>
      <c r="S112" s="896"/>
      <c r="T112" s="896"/>
      <c r="V112" s="896"/>
    </row>
    <row r="113" spans="1:22" s="895" customFormat="1">
      <c r="A113" s="896"/>
      <c r="B113" s="896" t="s">
        <v>1125</v>
      </c>
      <c r="C113" s="896"/>
      <c r="D113" s="1007" t="str">
        <f>IF(H87&gt;=H58+J58,"Ок","Ошибка")</f>
        <v>Ок</v>
      </c>
      <c r="E113" s="1007" t="str">
        <f>IF(H87&gt;=I58+K58,"Ок","Ошибка")</f>
        <v>Ок</v>
      </c>
      <c r="F113" s="1007" t="str">
        <f>IF(H58=H77,"Ок","Ошибка")</f>
        <v>Ок</v>
      </c>
      <c r="G113" s="1007" t="str">
        <f>IF(I58=I77,"Ок","Ошибка")</f>
        <v>Ок</v>
      </c>
      <c r="H113" s="1007" t="str">
        <f>IF(J58=J77,"Ок","Ошибка")</f>
        <v>Ок</v>
      </c>
      <c r="I113" s="1007" t="str">
        <f>IF(K58=K77,"Ок","Ошибка")</f>
        <v>Ок</v>
      </c>
      <c r="J113" s="896"/>
      <c r="K113" s="896"/>
      <c r="L113" s="896"/>
      <c r="M113" s="896"/>
      <c r="N113" s="896"/>
      <c r="O113" s="896"/>
      <c r="P113" s="896"/>
      <c r="Q113" s="896"/>
      <c r="R113" s="896"/>
      <c r="S113" s="896"/>
      <c r="T113" s="896"/>
      <c r="V113" s="896"/>
    </row>
    <row r="114" spans="1:22" s="895" customFormat="1">
      <c r="A114" s="896"/>
      <c r="B114" s="896" t="s">
        <v>1126</v>
      </c>
      <c r="C114" s="896"/>
      <c r="D114" s="1007" t="str">
        <f>IF(H58&gt;=L58,"Ок","Ошибка")</f>
        <v>Ок</v>
      </c>
      <c r="E114" s="1007" t="str">
        <f>IF(I58&gt;=M58,"Ок","Ошибка")</f>
        <v>Ок</v>
      </c>
      <c r="F114" s="1007" t="str">
        <f>IF(L58=L77,"Ок","Ошибка")</f>
        <v>Ок</v>
      </c>
      <c r="G114" s="1007" t="str">
        <f>IF(M58=M77,"Ок","Ошибка")</f>
        <v>Ок</v>
      </c>
      <c r="H114" s="1007" t="str">
        <f>IF(N58=N77,"Ок","Ошибка")</f>
        <v>Ок</v>
      </c>
      <c r="I114" s="1007" t="str">
        <f>IF(O58=O77,"Ок","Ошибка")</f>
        <v>Ок</v>
      </c>
      <c r="J114" s="896"/>
      <c r="K114" s="896"/>
      <c r="L114" s="896"/>
      <c r="M114" s="896"/>
      <c r="N114" s="896"/>
      <c r="O114" s="896"/>
      <c r="P114" s="896"/>
      <c r="Q114" s="896"/>
      <c r="R114" s="896"/>
      <c r="S114" s="896"/>
      <c r="T114" s="896"/>
      <c r="V114" s="896"/>
    </row>
    <row r="115" spans="1:22" s="895" customFormat="1">
      <c r="A115" s="896"/>
      <c r="B115" s="896" t="s">
        <v>1118</v>
      </c>
      <c r="C115" s="896"/>
      <c r="D115" s="1007" t="str">
        <f>IF(D18=D19+D23,"Ок","Ошибка")</f>
        <v>Ок</v>
      </c>
      <c r="E115" s="1007" t="str">
        <f t="shared" ref="E115:S115" si="39">IF(E18=E19+E23,"Ок","Ошибка")</f>
        <v>Ок</v>
      </c>
      <c r="F115" s="1007" t="str">
        <f t="shared" si="39"/>
        <v>Ок</v>
      </c>
      <c r="G115" s="1007" t="str">
        <f t="shared" si="39"/>
        <v>Ок</v>
      </c>
      <c r="H115" s="1007" t="str">
        <f t="shared" si="39"/>
        <v>Ок</v>
      </c>
      <c r="I115" s="1007" t="str">
        <f t="shared" si="39"/>
        <v>Ок</v>
      </c>
      <c r="J115" s="1007" t="str">
        <f t="shared" si="39"/>
        <v>Ок</v>
      </c>
      <c r="K115" s="1007" t="str">
        <f t="shared" si="39"/>
        <v>Ок</v>
      </c>
      <c r="L115" s="1007" t="str">
        <f t="shared" si="39"/>
        <v>Ок</v>
      </c>
      <c r="M115" s="1007" t="str">
        <f t="shared" si="39"/>
        <v>Ок</v>
      </c>
      <c r="N115" s="1007" t="str">
        <f t="shared" si="39"/>
        <v>Ок</v>
      </c>
      <c r="O115" s="1007" t="str">
        <f t="shared" si="39"/>
        <v>Ок</v>
      </c>
      <c r="P115" s="1007" t="str">
        <f t="shared" si="39"/>
        <v>Ок</v>
      </c>
      <c r="Q115" s="1007" t="str">
        <f t="shared" si="39"/>
        <v>Ок</v>
      </c>
      <c r="R115" s="1007" t="str">
        <f t="shared" si="39"/>
        <v>Ок</v>
      </c>
      <c r="S115" s="1007" t="str">
        <f t="shared" si="39"/>
        <v>Ок</v>
      </c>
      <c r="T115" s="1007" t="str">
        <f>IF(T18=T19+T23+T26,"Ок","Ошибка")</f>
        <v>Ок</v>
      </c>
      <c r="V115" s="896"/>
    </row>
    <row r="116" spans="1:22" s="895" customFormat="1">
      <c r="A116" s="896"/>
      <c r="B116" s="896" t="s">
        <v>1119</v>
      </c>
      <c r="C116" s="896"/>
      <c r="D116" s="1007" t="str">
        <f>IF(D19=D20+D21,"Ок","Ошибка")</f>
        <v>Ок</v>
      </c>
      <c r="E116" s="1007" t="str">
        <f t="shared" ref="E116:S116" si="40">IF(E19=E20+E21,"Ок","Ошибка")</f>
        <v>Ок</v>
      </c>
      <c r="F116" s="1007" t="str">
        <f t="shared" si="40"/>
        <v>Ок</v>
      </c>
      <c r="G116" s="1007" t="str">
        <f t="shared" si="40"/>
        <v>Ок</v>
      </c>
      <c r="H116" s="1007" t="str">
        <f t="shared" si="40"/>
        <v>Ок</v>
      </c>
      <c r="I116" s="1007" t="str">
        <f t="shared" si="40"/>
        <v>Ок</v>
      </c>
      <c r="J116" s="1007" t="str">
        <f t="shared" si="40"/>
        <v>Ок</v>
      </c>
      <c r="K116" s="1007" t="str">
        <f t="shared" si="40"/>
        <v>Ок</v>
      </c>
      <c r="L116" s="1007" t="str">
        <f t="shared" si="40"/>
        <v>Ок</v>
      </c>
      <c r="M116" s="1007" t="str">
        <f t="shared" si="40"/>
        <v>Ок</v>
      </c>
      <c r="N116" s="1007" t="str">
        <f t="shared" si="40"/>
        <v>Ок</v>
      </c>
      <c r="O116" s="1007" t="str">
        <f t="shared" si="40"/>
        <v>Ок</v>
      </c>
      <c r="P116" s="1007" t="str">
        <f t="shared" si="40"/>
        <v>Ок</v>
      </c>
      <c r="Q116" s="1007" t="str">
        <f t="shared" si="40"/>
        <v>Ок</v>
      </c>
      <c r="R116" s="1007" t="str">
        <f t="shared" si="40"/>
        <v>Ок</v>
      </c>
      <c r="S116" s="1007" t="str">
        <f t="shared" si="40"/>
        <v>Ок</v>
      </c>
      <c r="T116" s="1007" t="str">
        <f>IF(T19=T20+T21,"Ок","Ошибка")</f>
        <v>Ок</v>
      </c>
      <c r="V116" s="896"/>
    </row>
    <row r="117" spans="1:22" s="895" customFormat="1">
      <c r="A117" s="896"/>
      <c r="B117" s="896" t="s">
        <v>1120</v>
      </c>
      <c r="C117" s="896"/>
      <c r="D117" s="1007" t="str">
        <f>IF(D23=D24+D25,"Ок","Ошибка")</f>
        <v>Ок</v>
      </c>
      <c r="E117" s="1007" t="str">
        <f t="shared" ref="E117:S117" si="41">IF(E23=E24+E25,"Ок","Ошибка")</f>
        <v>Ок</v>
      </c>
      <c r="F117" s="1007" t="str">
        <f t="shared" si="41"/>
        <v>Ок</v>
      </c>
      <c r="G117" s="1007" t="str">
        <f t="shared" si="41"/>
        <v>Ок</v>
      </c>
      <c r="H117" s="1007" t="str">
        <f t="shared" si="41"/>
        <v>Ок</v>
      </c>
      <c r="I117" s="1007" t="str">
        <f t="shared" si="41"/>
        <v>Ок</v>
      </c>
      <c r="J117" s="1007" t="str">
        <f t="shared" si="41"/>
        <v>Ок</v>
      </c>
      <c r="K117" s="1007" t="str">
        <f t="shared" si="41"/>
        <v>Ок</v>
      </c>
      <c r="L117" s="1007" t="str">
        <f t="shared" si="41"/>
        <v>Ок</v>
      </c>
      <c r="M117" s="1007" t="str">
        <f t="shared" si="41"/>
        <v>Ок</v>
      </c>
      <c r="N117" s="1007" t="str">
        <f t="shared" si="41"/>
        <v>Ок</v>
      </c>
      <c r="O117" s="1007" t="str">
        <f t="shared" si="41"/>
        <v>Ок</v>
      </c>
      <c r="P117" s="1007" t="str">
        <f t="shared" si="41"/>
        <v>Ок</v>
      </c>
      <c r="Q117" s="1007" t="str">
        <f t="shared" si="41"/>
        <v>Ок</v>
      </c>
      <c r="R117" s="1007" t="str">
        <f t="shared" si="41"/>
        <v>Ок</v>
      </c>
      <c r="S117" s="1007" t="str">
        <f t="shared" si="41"/>
        <v>Ок</v>
      </c>
      <c r="T117" s="1007" t="str">
        <f>IF(T23=T24+T25,"Ок","Ошибка")</f>
        <v>Ок</v>
      </c>
      <c r="V117" s="896"/>
    </row>
    <row r="118" spans="1:22" s="895" customFormat="1">
      <c r="A118" s="896"/>
      <c r="B118" s="896" t="s">
        <v>1122</v>
      </c>
      <c r="C118" s="896"/>
      <c r="D118" s="1007" t="str">
        <f t="shared" ref="D118:E120" si="42">IF(D23=L58,"Ок","Ошибка")</f>
        <v>Ок</v>
      </c>
      <c r="E118" s="1007" t="str">
        <f t="shared" si="42"/>
        <v>Ок</v>
      </c>
      <c r="F118" s="1007" t="str">
        <f t="shared" ref="F118:I120" si="43">IF(L58=L77,"Ок","Ошибка")</f>
        <v>Ок</v>
      </c>
      <c r="G118" s="1007" t="str">
        <f t="shared" si="43"/>
        <v>Ок</v>
      </c>
      <c r="H118" s="1007" t="str">
        <f t="shared" si="43"/>
        <v>Ок</v>
      </c>
      <c r="I118" s="1007" t="str">
        <f t="shared" si="43"/>
        <v>Ок</v>
      </c>
      <c r="J118" s="1007" t="str">
        <f>IF(D26=N58,"Ок","Ошибка")</f>
        <v>Ок</v>
      </c>
      <c r="K118" s="1007" t="str">
        <f>IF(E26=O58,"Ок","Ошибка")</f>
        <v>Ок</v>
      </c>
      <c r="L118" s="1007"/>
      <c r="M118" s="1007"/>
      <c r="N118" s="896"/>
      <c r="O118" s="896"/>
      <c r="P118" s="896"/>
      <c r="Q118" s="896"/>
      <c r="R118" s="896"/>
      <c r="S118" s="896"/>
      <c r="T118" s="896"/>
      <c r="V118" s="896"/>
    </row>
    <row r="119" spans="1:22" s="895" customFormat="1">
      <c r="A119" s="896"/>
      <c r="B119" s="896" t="s">
        <v>1123</v>
      </c>
      <c r="C119" s="896"/>
      <c r="D119" s="1007" t="str">
        <f t="shared" si="42"/>
        <v>Ок</v>
      </c>
      <c r="E119" s="1007" t="str">
        <f t="shared" si="42"/>
        <v>Ок</v>
      </c>
      <c r="F119" s="1007" t="str">
        <f t="shared" si="43"/>
        <v>Ок</v>
      </c>
      <c r="G119" s="1007" t="str">
        <f t="shared" si="43"/>
        <v>Ок</v>
      </c>
      <c r="H119" s="1007" t="str">
        <f t="shared" si="43"/>
        <v>Ок</v>
      </c>
      <c r="I119" s="1007" t="str">
        <f t="shared" si="43"/>
        <v>Ок</v>
      </c>
      <c r="J119" s="1007" t="str">
        <f>IF(N58=N77,"Ок","Ошибка")</f>
        <v>Ок</v>
      </c>
      <c r="K119" s="1007" t="str">
        <f>IF(O58=O77,"Ок","Ошибка")</f>
        <v>Ок</v>
      </c>
      <c r="L119" s="1007"/>
      <c r="M119" s="1007"/>
      <c r="N119" s="896"/>
      <c r="O119" s="896"/>
      <c r="P119" s="896"/>
      <c r="Q119" s="896"/>
      <c r="R119" s="896"/>
      <c r="S119" s="896"/>
      <c r="T119" s="896"/>
      <c r="V119" s="896"/>
    </row>
    <row r="120" spans="1:22" s="895" customFormat="1">
      <c r="A120" s="896"/>
      <c r="B120" s="896" t="s">
        <v>1124</v>
      </c>
      <c r="C120" s="896"/>
      <c r="D120" s="1007" t="str">
        <f t="shared" si="42"/>
        <v>Ок</v>
      </c>
      <c r="E120" s="1007" t="str">
        <f t="shared" si="42"/>
        <v>Ок</v>
      </c>
      <c r="F120" s="1007" t="str">
        <f t="shared" si="43"/>
        <v>Ок</v>
      </c>
      <c r="G120" s="1007" t="str">
        <f t="shared" si="43"/>
        <v>Ок</v>
      </c>
      <c r="H120" s="1007" t="str">
        <f t="shared" si="43"/>
        <v>Ок</v>
      </c>
      <c r="I120" s="1007" t="str">
        <f t="shared" si="43"/>
        <v>Ок</v>
      </c>
      <c r="J120" s="896"/>
      <c r="K120" s="896"/>
      <c r="L120" s="896"/>
      <c r="M120" s="896"/>
      <c r="N120" s="896"/>
      <c r="O120" s="896"/>
      <c r="P120" s="896"/>
      <c r="Q120" s="896"/>
      <c r="R120" s="896"/>
      <c r="S120" s="896"/>
      <c r="T120" s="896"/>
      <c r="V120" s="896"/>
    </row>
    <row r="121" spans="1:22" s="896" customFormat="1"/>
    <row r="122" spans="1:22" s="896" customFormat="1">
      <c r="B122" s="896" t="s">
        <v>1127</v>
      </c>
      <c r="C122" s="1008">
        <f>D8*1000/D18</f>
        <v>5499.3293734431891</v>
      </c>
      <c r="D122" s="1008">
        <f>E8*1000/E18</f>
        <v>5493.7245833665575</v>
      </c>
      <c r="E122" s="1008"/>
      <c r="F122" s="1008"/>
      <c r="G122" s="1008"/>
      <c r="H122" s="1008"/>
      <c r="I122" s="1008"/>
      <c r="J122" s="1008"/>
      <c r="K122" s="1008"/>
      <c r="L122" s="1008"/>
      <c r="M122" s="1008"/>
      <c r="N122" s="1008"/>
      <c r="O122" s="1008"/>
      <c r="P122" s="1008"/>
      <c r="Q122" s="1008"/>
      <c r="R122" s="1008"/>
      <c r="S122" s="1008"/>
      <c r="T122" s="1008"/>
    </row>
    <row r="123" spans="1:22" s="896" customFormat="1"/>
    <row r="124" spans="1:22" s="896" customFormat="1"/>
    <row r="125" spans="1:22" s="896" customFormat="1"/>
    <row r="126" spans="1:22" s="896" customFormat="1"/>
    <row r="127" spans="1:22" s="896" customFormat="1">
      <c r="F127" s="896" t="s">
        <v>1072</v>
      </c>
      <c r="G127" s="896" t="s">
        <v>1073</v>
      </c>
      <c r="H127" s="896" t="s">
        <v>1074</v>
      </c>
      <c r="I127" s="896" t="s">
        <v>1075</v>
      </c>
      <c r="J127" s="896" t="s">
        <v>1076</v>
      </c>
      <c r="K127" s="896" t="s">
        <v>1077</v>
      </c>
      <c r="M127" s="896" t="s">
        <v>1078</v>
      </c>
      <c r="N127" s="896" t="s">
        <v>1079</v>
      </c>
      <c r="O127" s="896" t="s">
        <v>1080</v>
      </c>
      <c r="P127" s="896" t="s">
        <v>1081</v>
      </c>
      <c r="Q127" s="896" t="s">
        <v>1082</v>
      </c>
      <c r="R127" s="896" t="s">
        <v>1083</v>
      </c>
    </row>
    <row r="128" spans="1:22" s="896" customFormat="1">
      <c r="F128" s="896">
        <v>31</v>
      </c>
      <c r="G128" s="896">
        <v>28</v>
      </c>
      <c r="H128" s="896">
        <v>31</v>
      </c>
      <c r="I128" s="896">
        <v>30</v>
      </c>
      <c r="J128" s="896">
        <v>31</v>
      </c>
      <c r="K128" s="896">
        <v>30</v>
      </c>
      <c r="M128" s="896">
        <v>31</v>
      </c>
      <c r="N128" s="896">
        <v>31</v>
      </c>
      <c r="O128" s="896">
        <v>30</v>
      </c>
      <c r="P128" s="896">
        <v>31</v>
      </c>
      <c r="Q128" s="896">
        <v>30</v>
      </c>
      <c r="R128" s="896">
        <v>31</v>
      </c>
    </row>
    <row r="129" spans="5:18" s="896" customFormat="1">
      <c r="E129" s="896">
        <v>5500</v>
      </c>
      <c r="F129" s="896">
        <f>F128*24*$E$129/$E$130</f>
        <v>467.1232876712329</v>
      </c>
      <c r="G129" s="896">
        <f t="shared" ref="G129:R129" si="44">G128*24*$E$129/$E$130</f>
        <v>421.91780821917808</v>
      </c>
      <c r="H129" s="896">
        <f t="shared" si="44"/>
        <v>467.1232876712329</v>
      </c>
      <c r="I129" s="896">
        <f t="shared" si="44"/>
        <v>452.05479452054794</v>
      </c>
      <c r="J129" s="896">
        <f t="shared" si="44"/>
        <v>467.1232876712329</v>
      </c>
      <c r="K129" s="896">
        <f t="shared" si="44"/>
        <v>452.05479452054794</v>
      </c>
      <c r="M129" s="896">
        <f t="shared" si="44"/>
        <v>467.1232876712329</v>
      </c>
      <c r="N129" s="896">
        <f t="shared" si="44"/>
        <v>467.1232876712329</v>
      </c>
      <c r="O129" s="896">
        <f t="shared" si="44"/>
        <v>452.05479452054794</v>
      </c>
      <c r="P129" s="896">
        <f t="shared" si="44"/>
        <v>467.1232876712329</v>
      </c>
      <c r="Q129" s="896">
        <f t="shared" si="44"/>
        <v>452.05479452054794</v>
      </c>
      <c r="R129" s="896">
        <f t="shared" si="44"/>
        <v>467.1232876712329</v>
      </c>
    </row>
    <row r="130" spans="5:18" s="896" customFormat="1">
      <c r="E130" s="896">
        <v>8760</v>
      </c>
    </row>
  </sheetData>
  <mergeCells count="64">
    <mergeCell ref="F86:G86"/>
    <mergeCell ref="F87:G87"/>
    <mergeCell ref="F82:G82"/>
    <mergeCell ref="F83:G83"/>
    <mergeCell ref="F84:G84"/>
    <mergeCell ref="F85:G85"/>
    <mergeCell ref="D44:E44"/>
    <mergeCell ref="F44:G44"/>
    <mergeCell ref="H44:I44"/>
    <mergeCell ref="J44:K44"/>
    <mergeCell ref="H84:I84"/>
    <mergeCell ref="B44:C45"/>
    <mergeCell ref="B85:E85"/>
    <mergeCell ref="H85:I85"/>
    <mergeCell ref="A28:A30"/>
    <mergeCell ref="B28:B30"/>
    <mergeCell ref="C28:C30"/>
    <mergeCell ref="D28:M28"/>
    <mergeCell ref="D29:E29"/>
    <mergeCell ref="F29:G29"/>
    <mergeCell ref="H29:I29"/>
    <mergeCell ref="J29:K29"/>
    <mergeCell ref="L29:M29"/>
    <mergeCell ref="L44:M44"/>
    <mergeCell ref="B82:E82"/>
    <mergeCell ref="H82:I82"/>
    <mergeCell ref="B83:E83"/>
    <mergeCell ref="B86:E86"/>
    <mergeCell ref="H86:I86"/>
    <mergeCell ref="B87:E87"/>
    <mergeCell ref="H87:I87"/>
    <mergeCell ref="Q70:R70"/>
    <mergeCell ref="Q77:R77"/>
    <mergeCell ref="Q78:R78"/>
    <mergeCell ref="Q79:R79"/>
    <mergeCell ref="Q71:R71"/>
    <mergeCell ref="Q72:R72"/>
    <mergeCell ref="Q73:R73"/>
    <mergeCell ref="Q74:R74"/>
    <mergeCell ref="Q75:R75"/>
    <mergeCell ref="Q76:R76"/>
    <mergeCell ref="H83:I83"/>
    <mergeCell ref="B84:E84"/>
    <mergeCell ref="N28:O29"/>
    <mergeCell ref="P63:S63"/>
    <mergeCell ref="Q64:R64"/>
    <mergeCell ref="N44:O44"/>
    <mergeCell ref="A62:O62"/>
    <mergeCell ref="A63:A64"/>
    <mergeCell ref="B63:C64"/>
    <mergeCell ref="D63:E63"/>
    <mergeCell ref="F63:G63"/>
    <mergeCell ref="H63:I63"/>
    <mergeCell ref="J63:K63"/>
    <mergeCell ref="L63:M63"/>
    <mergeCell ref="N63:O63"/>
    <mergeCell ref="B42:H42"/>
    <mergeCell ref="K42:M42"/>
    <mergeCell ref="A43:O43"/>
    <mergeCell ref="Q65:R65"/>
    <mergeCell ref="Q66:R66"/>
    <mergeCell ref="Q67:R67"/>
    <mergeCell ref="Q68:R68"/>
    <mergeCell ref="Q69:R69"/>
  </mergeCells>
  <conditionalFormatting sqref="B118:B120 B112 D107:E107 B107:B110 A115:T117 A104:T106 D113:I114 D118:I120 D108:K110 U125:IV126 V127:IV127">
    <cfRule type="containsText" dxfId="3" priority="4" stopIfTrue="1" operator="containsText" text="Ошибка">
      <formula>NOT(ISERROR(SEARCH("Ошибка",A104)))</formula>
    </cfRule>
  </conditionalFormatting>
  <conditionalFormatting sqref="B118:B120 B112 D107:E107 B107:B110 A115:S117 A104:S106 D113:I114 D118:I120 D108:K110">
    <cfRule type="containsText" dxfId="2" priority="3" stopIfTrue="1" operator="containsText" text="Ошибка">
      <formula>NOT(ISERROR(SEARCH("Ошибка",A104)))</formula>
    </cfRule>
  </conditionalFormatting>
  <conditionalFormatting sqref="J118:M119">
    <cfRule type="containsText" dxfId="1" priority="2" stopIfTrue="1" operator="containsText" text="Ошибка">
      <formula>NOT(ISERROR(SEARCH("Ошибка",J118)))</formula>
    </cfRule>
  </conditionalFormatting>
  <conditionalFormatting sqref="J118:M119">
    <cfRule type="containsText" dxfId="0" priority="1" stopIfTrue="1" operator="containsText" text="Ошибка">
      <formula>NOT(ISERROR(SEARCH("Ошибка",J118)))</formula>
    </cfRule>
  </conditionalFormatting>
  <dataValidations count="1">
    <dataValidation type="decimal" allowBlank="1" showInputMessage="1" showErrorMessage="1" sqref="M9:R9 F9:K9 F19:K19 M19:R19">
      <formula1>0</formula1>
      <formula2>1000000000000000</formula2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B1:T47"/>
  <sheetViews>
    <sheetView workbookViewId="0">
      <selection activeCell="K61" sqref="K61"/>
    </sheetView>
  </sheetViews>
  <sheetFormatPr defaultRowHeight="12.75"/>
  <cols>
    <col min="1" max="2" width="9.140625" style="1081"/>
    <col min="3" max="3" width="82" style="1081" customWidth="1"/>
    <col min="4" max="5" width="9.140625" style="1155"/>
    <col min="6" max="258" width="9.140625" style="1081"/>
    <col min="259" max="259" width="82" style="1081" customWidth="1"/>
    <col min="260" max="514" width="9.140625" style="1081"/>
    <col min="515" max="515" width="82" style="1081" customWidth="1"/>
    <col min="516" max="770" width="9.140625" style="1081"/>
    <col min="771" max="771" width="82" style="1081" customWidth="1"/>
    <col min="772" max="1026" width="9.140625" style="1081"/>
    <col min="1027" max="1027" width="82" style="1081" customWidth="1"/>
    <col min="1028" max="1282" width="9.140625" style="1081"/>
    <col min="1283" max="1283" width="82" style="1081" customWidth="1"/>
    <col min="1284" max="1538" width="9.140625" style="1081"/>
    <col min="1539" max="1539" width="82" style="1081" customWidth="1"/>
    <col min="1540" max="1794" width="9.140625" style="1081"/>
    <col min="1795" max="1795" width="82" style="1081" customWidth="1"/>
    <col min="1796" max="2050" width="9.140625" style="1081"/>
    <col min="2051" max="2051" width="82" style="1081" customWidth="1"/>
    <col min="2052" max="2306" width="9.140625" style="1081"/>
    <col min="2307" max="2307" width="82" style="1081" customWidth="1"/>
    <col min="2308" max="2562" width="9.140625" style="1081"/>
    <col min="2563" max="2563" width="82" style="1081" customWidth="1"/>
    <col min="2564" max="2818" width="9.140625" style="1081"/>
    <col min="2819" max="2819" width="82" style="1081" customWidth="1"/>
    <col min="2820" max="3074" width="9.140625" style="1081"/>
    <col min="3075" max="3075" width="82" style="1081" customWidth="1"/>
    <col min="3076" max="3330" width="9.140625" style="1081"/>
    <col min="3331" max="3331" width="82" style="1081" customWidth="1"/>
    <col min="3332" max="3586" width="9.140625" style="1081"/>
    <col min="3587" max="3587" width="82" style="1081" customWidth="1"/>
    <col min="3588" max="3842" width="9.140625" style="1081"/>
    <col min="3843" max="3843" width="82" style="1081" customWidth="1"/>
    <col min="3844" max="4098" width="9.140625" style="1081"/>
    <col min="4099" max="4099" width="82" style="1081" customWidth="1"/>
    <col min="4100" max="4354" width="9.140625" style="1081"/>
    <col min="4355" max="4355" width="82" style="1081" customWidth="1"/>
    <col min="4356" max="4610" width="9.140625" style="1081"/>
    <col min="4611" max="4611" width="82" style="1081" customWidth="1"/>
    <col min="4612" max="4866" width="9.140625" style="1081"/>
    <col min="4867" max="4867" width="82" style="1081" customWidth="1"/>
    <col min="4868" max="5122" width="9.140625" style="1081"/>
    <col min="5123" max="5123" width="82" style="1081" customWidth="1"/>
    <col min="5124" max="5378" width="9.140625" style="1081"/>
    <col min="5379" max="5379" width="82" style="1081" customWidth="1"/>
    <col min="5380" max="5634" width="9.140625" style="1081"/>
    <col min="5635" max="5635" width="82" style="1081" customWidth="1"/>
    <col min="5636" max="5890" width="9.140625" style="1081"/>
    <col min="5891" max="5891" width="82" style="1081" customWidth="1"/>
    <col min="5892" max="6146" width="9.140625" style="1081"/>
    <col min="6147" max="6147" width="82" style="1081" customWidth="1"/>
    <col min="6148" max="6402" width="9.140625" style="1081"/>
    <col min="6403" max="6403" width="82" style="1081" customWidth="1"/>
    <col min="6404" max="6658" width="9.140625" style="1081"/>
    <col min="6659" max="6659" width="82" style="1081" customWidth="1"/>
    <col min="6660" max="6914" width="9.140625" style="1081"/>
    <col min="6915" max="6915" width="82" style="1081" customWidth="1"/>
    <col min="6916" max="7170" width="9.140625" style="1081"/>
    <col min="7171" max="7171" width="82" style="1081" customWidth="1"/>
    <col min="7172" max="7426" width="9.140625" style="1081"/>
    <col min="7427" max="7427" width="82" style="1081" customWidth="1"/>
    <col min="7428" max="7682" width="9.140625" style="1081"/>
    <col min="7683" max="7683" width="82" style="1081" customWidth="1"/>
    <col min="7684" max="7938" width="9.140625" style="1081"/>
    <col min="7939" max="7939" width="82" style="1081" customWidth="1"/>
    <col min="7940" max="8194" width="9.140625" style="1081"/>
    <col min="8195" max="8195" width="82" style="1081" customWidth="1"/>
    <col min="8196" max="8450" width="9.140625" style="1081"/>
    <col min="8451" max="8451" width="82" style="1081" customWidth="1"/>
    <col min="8452" max="8706" width="9.140625" style="1081"/>
    <col min="8707" max="8707" width="82" style="1081" customWidth="1"/>
    <col min="8708" max="8962" width="9.140625" style="1081"/>
    <col min="8963" max="8963" width="82" style="1081" customWidth="1"/>
    <col min="8964" max="9218" width="9.140625" style="1081"/>
    <col min="9219" max="9219" width="82" style="1081" customWidth="1"/>
    <col min="9220" max="9474" width="9.140625" style="1081"/>
    <col min="9475" max="9475" width="82" style="1081" customWidth="1"/>
    <col min="9476" max="9730" width="9.140625" style="1081"/>
    <col min="9731" max="9731" width="82" style="1081" customWidth="1"/>
    <col min="9732" max="9986" width="9.140625" style="1081"/>
    <col min="9987" max="9987" width="82" style="1081" customWidth="1"/>
    <col min="9988" max="10242" width="9.140625" style="1081"/>
    <col min="10243" max="10243" width="82" style="1081" customWidth="1"/>
    <col min="10244" max="10498" width="9.140625" style="1081"/>
    <col min="10499" max="10499" width="82" style="1081" customWidth="1"/>
    <col min="10500" max="10754" width="9.140625" style="1081"/>
    <col min="10755" max="10755" width="82" style="1081" customWidth="1"/>
    <col min="10756" max="11010" width="9.140625" style="1081"/>
    <col min="11011" max="11011" width="82" style="1081" customWidth="1"/>
    <col min="11012" max="11266" width="9.140625" style="1081"/>
    <col min="11267" max="11267" width="82" style="1081" customWidth="1"/>
    <col min="11268" max="11522" width="9.140625" style="1081"/>
    <col min="11523" max="11523" width="82" style="1081" customWidth="1"/>
    <col min="11524" max="11778" width="9.140625" style="1081"/>
    <col min="11779" max="11779" width="82" style="1081" customWidth="1"/>
    <col min="11780" max="12034" width="9.140625" style="1081"/>
    <col min="12035" max="12035" width="82" style="1081" customWidth="1"/>
    <col min="12036" max="12290" width="9.140625" style="1081"/>
    <col min="12291" max="12291" width="82" style="1081" customWidth="1"/>
    <col min="12292" max="12546" width="9.140625" style="1081"/>
    <col min="12547" max="12547" width="82" style="1081" customWidth="1"/>
    <col min="12548" max="12802" width="9.140625" style="1081"/>
    <col min="12803" max="12803" width="82" style="1081" customWidth="1"/>
    <col min="12804" max="13058" width="9.140625" style="1081"/>
    <col min="13059" max="13059" width="82" style="1081" customWidth="1"/>
    <col min="13060" max="13314" width="9.140625" style="1081"/>
    <col min="13315" max="13315" width="82" style="1081" customWidth="1"/>
    <col min="13316" max="13570" width="9.140625" style="1081"/>
    <col min="13571" max="13571" width="82" style="1081" customWidth="1"/>
    <col min="13572" max="13826" width="9.140625" style="1081"/>
    <col min="13827" max="13827" width="82" style="1081" customWidth="1"/>
    <col min="13828" max="14082" width="9.140625" style="1081"/>
    <col min="14083" max="14083" width="82" style="1081" customWidth="1"/>
    <col min="14084" max="14338" width="9.140625" style="1081"/>
    <col min="14339" max="14339" width="82" style="1081" customWidth="1"/>
    <col min="14340" max="14594" width="9.140625" style="1081"/>
    <col min="14595" max="14595" width="82" style="1081" customWidth="1"/>
    <col min="14596" max="14850" width="9.140625" style="1081"/>
    <col min="14851" max="14851" width="82" style="1081" customWidth="1"/>
    <col min="14852" max="15106" width="9.140625" style="1081"/>
    <col min="15107" max="15107" width="82" style="1081" customWidth="1"/>
    <col min="15108" max="15362" width="9.140625" style="1081"/>
    <col min="15363" max="15363" width="82" style="1081" customWidth="1"/>
    <col min="15364" max="15618" width="9.140625" style="1081"/>
    <col min="15619" max="15619" width="82" style="1081" customWidth="1"/>
    <col min="15620" max="15874" width="9.140625" style="1081"/>
    <col min="15875" max="15875" width="82" style="1081" customWidth="1"/>
    <col min="15876" max="16130" width="9.140625" style="1081"/>
    <col min="16131" max="16131" width="82" style="1081" customWidth="1"/>
    <col min="16132" max="16384" width="9.140625" style="1081"/>
  </cols>
  <sheetData>
    <row r="1" spans="2:19" ht="25.5" customHeight="1">
      <c r="B1" s="1650" t="s">
        <v>241</v>
      </c>
      <c r="C1" s="1650" t="s">
        <v>1050</v>
      </c>
      <c r="D1" s="1151" t="s">
        <v>1052</v>
      </c>
      <c r="E1" s="1151"/>
      <c r="F1" s="1701" t="s">
        <v>1053</v>
      </c>
      <c r="G1" s="1701"/>
      <c r="H1" s="1701" t="s">
        <v>1387</v>
      </c>
      <c r="I1" s="1701"/>
      <c r="J1" s="1701" t="s">
        <v>1055</v>
      </c>
      <c r="K1" s="1701"/>
      <c r="L1" s="1701" t="s">
        <v>1056</v>
      </c>
      <c r="M1" s="1701"/>
      <c r="N1" s="1701" t="s">
        <v>1057</v>
      </c>
      <c r="O1" s="1701"/>
      <c r="P1" s="1701" t="s">
        <v>1054</v>
      </c>
      <c r="Q1" s="1701"/>
      <c r="R1" s="1701" t="s">
        <v>646</v>
      </c>
      <c r="S1" s="1701"/>
    </row>
    <row r="2" spans="2:19" ht="30" customHeight="1">
      <c r="B2" s="1650"/>
      <c r="C2" s="1650"/>
      <c r="D2" s="1151" t="s">
        <v>911</v>
      </c>
      <c r="E2" s="1151" t="s">
        <v>910</v>
      </c>
      <c r="F2" s="1150" t="s">
        <v>911</v>
      </c>
      <c r="G2" s="1150" t="s">
        <v>910</v>
      </c>
      <c r="H2" s="1150" t="s">
        <v>911</v>
      </c>
      <c r="I2" s="1150" t="s">
        <v>910</v>
      </c>
      <c r="J2" s="1150" t="s">
        <v>911</v>
      </c>
      <c r="K2" s="1150" t="s">
        <v>910</v>
      </c>
      <c r="L2" s="1150" t="s">
        <v>911</v>
      </c>
      <c r="M2" s="1150" t="s">
        <v>910</v>
      </c>
      <c r="N2" s="1150" t="s">
        <v>911</v>
      </c>
      <c r="O2" s="1150" t="s">
        <v>910</v>
      </c>
      <c r="P2" s="1150" t="s">
        <v>911</v>
      </c>
      <c r="Q2" s="1150" t="s">
        <v>910</v>
      </c>
      <c r="R2" s="1150" t="s">
        <v>911</v>
      </c>
      <c r="S2" s="1150" t="s">
        <v>910</v>
      </c>
    </row>
    <row r="3" spans="2:19" ht="23.25" customHeight="1">
      <c r="B3" s="259">
        <v>1</v>
      </c>
      <c r="C3" s="1109" t="s">
        <v>82</v>
      </c>
      <c r="D3" s="872">
        <v>23543</v>
      </c>
      <c r="E3" s="1103">
        <f>SUM(E4+E7+E8)</f>
        <v>13914</v>
      </c>
      <c r="F3" s="1147"/>
      <c r="G3" s="1148">
        <f>SUM(G4+G7+G8)</f>
        <v>9</v>
      </c>
      <c r="H3" s="1147"/>
      <c r="I3" s="1147">
        <f>SUM(I4+I7+I8)</f>
        <v>1699</v>
      </c>
      <c r="J3" s="1147"/>
      <c r="K3" s="1147">
        <f>SUM(K4+K7+K8)</f>
        <v>2838</v>
      </c>
      <c r="L3" s="1147"/>
      <c r="M3" s="1147"/>
      <c r="N3" s="1147"/>
      <c r="O3" s="1147">
        <f>SUM(O4+O7+O8)</f>
        <v>875</v>
      </c>
      <c r="P3" s="1147"/>
      <c r="Q3" s="1147"/>
      <c r="R3" s="1149">
        <f>D3+F3+H3+J3+L3+N3+P3</f>
        <v>23543</v>
      </c>
      <c r="S3" s="1147">
        <f>E3+G3+I3+K3+M3+O3+Q3</f>
        <v>19335</v>
      </c>
    </row>
    <row r="4" spans="2:19" ht="23.25" customHeight="1">
      <c r="B4" s="206" t="s">
        <v>295</v>
      </c>
      <c r="C4" s="1109" t="s">
        <v>49</v>
      </c>
      <c r="D4" s="872">
        <v>5796</v>
      </c>
      <c r="E4" s="872">
        <v>3277</v>
      </c>
      <c r="F4" s="1082"/>
      <c r="G4" s="879">
        <v>0</v>
      </c>
      <c r="H4" s="1082"/>
      <c r="I4" s="1082">
        <v>1253</v>
      </c>
      <c r="J4" s="1082"/>
      <c r="K4" s="1082">
        <v>977</v>
      </c>
      <c r="L4" s="1082"/>
      <c r="M4" s="1082"/>
      <c r="N4" s="1082"/>
      <c r="O4" s="1082">
        <v>344</v>
      </c>
      <c r="P4" s="1082"/>
      <c r="Q4" s="1082"/>
      <c r="R4" s="756">
        <f t="shared" ref="R4:S46" si="0">D4+F4+H4+J4+L4+N4+P4</f>
        <v>5796</v>
      </c>
      <c r="S4" s="1082">
        <f t="shared" si="0"/>
        <v>5851</v>
      </c>
    </row>
    <row r="5" spans="2:19" ht="23.25" customHeight="1">
      <c r="B5" s="206" t="s">
        <v>50</v>
      </c>
      <c r="C5" s="1109" t="s">
        <v>51</v>
      </c>
      <c r="D5" s="872">
        <v>5104</v>
      </c>
      <c r="E5" s="872">
        <v>1157</v>
      </c>
      <c r="F5" s="1082"/>
      <c r="G5" s="879"/>
      <c r="H5" s="1082"/>
      <c r="I5" s="1082"/>
      <c r="J5" s="1082"/>
      <c r="K5" s="1082">
        <v>360</v>
      </c>
      <c r="L5" s="1082"/>
      <c r="M5" s="1082"/>
      <c r="N5" s="1082"/>
      <c r="O5" s="1082">
        <v>284</v>
      </c>
      <c r="P5" s="1082"/>
      <c r="Q5" s="1082"/>
      <c r="R5" s="756">
        <f t="shared" si="0"/>
        <v>5104</v>
      </c>
      <c r="S5" s="1082">
        <f t="shared" si="0"/>
        <v>1801</v>
      </c>
    </row>
    <row r="6" spans="2:19" ht="23.25" customHeight="1">
      <c r="B6" s="206" t="s">
        <v>52</v>
      </c>
      <c r="C6" s="1109" t="s">
        <v>1388</v>
      </c>
      <c r="D6" s="872">
        <v>692</v>
      </c>
      <c r="E6" s="872">
        <v>2120</v>
      </c>
      <c r="F6" s="1082"/>
      <c r="G6" s="879"/>
      <c r="H6" s="1082"/>
      <c r="I6" s="1082">
        <v>1253</v>
      </c>
      <c r="J6" s="1082"/>
      <c r="K6" s="1082">
        <v>617</v>
      </c>
      <c r="L6" s="1082"/>
      <c r="M6" s="1082"/>
      <c r="N6" s="1082"/>
      <c r="O6" s="1082">
        <v>60</v>
      </c>
      <c r="P6" s="1082"/>
      <c r="Q6" s="1082"/>
      <c r="R6" s="756">
        <f t="shared" si="0"/>
        <v>692</v>
      </c>
      <c r="S6" s="1082">
        <f t="shared" si="0"/>
        <v>4050</v>
      </c>
    </row>
    <row r="7" spans="2:19" ht="23.25" customHeight="1">
      <c r="B7" s="206" t="s">
        <v>257</v>
      </c>
      <c r="C7" s="1109" t="s">
        <v>54</v>
      </c>
      <c r="D7" s="697">
        <v>14860</v>
      </c>
      <c r="E7" s="872">
        <v>10113</v>
      </c>
      <c r="F7" s="1082"/>
      <c r="G7" s="879">
        <v>3</v>
      </c>
      <c r="H7" s="1082"/>
      <c r="I7" s="1082">
        <v>309</v>
      </c>
      <c r="J7" s="1082"/>
      <c r="K7" s="1082">
        <v>1769</v>
      </c>
      <c r="L7" s="1082"/>
      <c r="M7" s="1082"/>
      <c r="N7" s="1082"/>
      <c r="O7" s="1082">
        <v>531</v>
      </c>
      <c r="P7" s="1082"/>
      <c r="Q7" s="1082"/>
      <c r="R7" s="756">
        <f t="shared" si="0"/>
        <v>14860</v>
      </c>
      <c r="S7" s="1082">
        <f t="shared" si="0"/>
        <v>12725</v>
      </c>
    </row>
    <row r="8" spans="2:19" ht="23.25" customHeight="1">
      <c r="B8" s="206" t="s">
        <v>6</v>
      </c>
      <c r="C8" s="1109" t="s">
        <v>55</v>
      </c>
      <c r="D8" s="551">
        <v>2371</v>
      </c>
      <c r="E8" s="872">
        <f>SUM(E9+E10+E17+E18+E19+E21)</f>
        <v>524</v>
      </c>
      <c r="F8" s="1082"/>
      <c r="G8" s="879">
        <f>SUM(G9+G10+G17+G18+G19+G21)</f>
        <v>6</v>
      </c>
      <c r="H8" s="1082"/>
      <c r="I8" s="1082">
        <f>SUM(I9+I10+I17+I18+I19+I21)</f>
        <v>137</v>
      </c>
      <c r="J8" s="1082"/>
      <c r="K8" s="1082">
        <f>SUM(K9+K10+K17+K18+K19+K21)</f>
        <v>92</v>
      </c>
      <c r="L8" s="1082"/>
      <c r="M8" s="1082"/>
      <c r="N8" s="1082"/>
      <c r="O8" s="1082">
        <f>SUM(O9+O10+O17+O18+O19+O21)</f>
        <v>0</v>
      </c>
      <c r="P8" s="1082"/>
      <c r="Q8" s="1082"/>
      <c r="R8" s="756">
        <f t="shared" si="0"/>
        <v>2371</v>
      </c>
      <c r="S8" s="1082">
        <f t="shared" si="0"/>
        <v>759</v>
      </c>
    </row>
    <row r="9" spans="2:19" ht="23.25" customHeight="1">
      <c r="B9" s="206" t="s">
        <v>56</v>
      </c>
      <c r="C9" s="1109" t="s">
        <v>41</v>
      </c>
      <c r="D9" s="872"/>
      <c r="E9" s="872"/>
      <c r="F9" s="1082"/>
      <c r="G9" s="879"/>
      <c r="H9" s="1082"/>
      <c r="I9" s="1082"/>
      <c r="J9" s="1082"/>
      <c r="K9" s="1082"/>
      <c r="L9" s="1082"/>
      <c r="M9" s="1082"/>
      <c r="N9" s="1082"/>
      <c r="O9" s="1082"/>
      <c r="P9" s="1082"/>
      <c r="Q9" s="1082"/>
      <c r="R9" s="756">
        <f t="shared" si="0"/>
        <v>0</v>
      </c>
      <c r="S9" s="1082">
        <f t="shared" si="0"/>
        <v>0</v>
      </c>
    </row>
    <row r="10" spans="2:19" ht="23.25" customHeight="1">
      <c r="B10" s="206" t="s">
        <v>57</v>
      </c>
      <c r="C10" s="1109" t="s">
        <v>58</v>
      </c>
      <c r="D10" s="551">
        <v>389</v>
      </c>
      <c r="E10" s="872">
        <v>454</v>
      </c>
      <c r="F10" s="1082"/>
      <c r="G10" s="879">
        <v>4</v>
      </c>
      <c r="H10" s="1082"/>
      <c r="I10" s="1082">
        <v>7</v>
      </c>
      <c r="J10" s="1082"/>
      <c r="K10" s="1082">
        <v>88</v>
      </c>
      <c r="L10" s="1082"/>
      <c r="M10" s="1082"/>
      <c r="N10" s="1082"/>
      <c r="O10" s="1082"/>
      <c r="P10" s="1082"/>
      <c r="Q10" s="1082"/>
      <c r="R10" s="756">
        <f t="shared" si="0"/>
        <v>389</v>
      </c>
      <c r="S10" s="1082">
        <f t="shared" si="0"/>
        <v>553</v>
      </c>
    </row>
    <row r="11" spans="2:19" ht="23.25" customHeight="1">
      <c r="B11" s="206" t="s">
        <v>59</v>
      </c>
      <c r="C11" s="1109" t="s">
        <v>60</v>
      </c>
      <c r="D11" s="872">
        <v>0</v>
      </c>
      <c r="E11" s="872">
        <v>74</v>
      </c>
      <c r="F11" s="1082"/>
      <c r="G11" s="879">
        <v>1</v>
      </c>
      <c r="H11" s="1082"/>
      <c r="I11" s="1082">
        <v>3</v>
      </c>
      <c r="J11" s="1082"/>
      <c r="K11" s="1082">
        <v>7</v>
      </c>
      <c r="L11" s="1082"/>
      <c r="M11" s="1082"/>
      <c r="N11" s="1082"/>
      <c r="O11" s="1082">
        <v>3</v>
      </c>
      <c r="P11" s="1082"/>
      <c r="Q11" s="1082"/>
      <c r="R11" s="756">
        <f t="shared" si="0"/>
        <v>0</v>
      </c>
      <c r="S11" s="1082">
        <f t="shared" si="0"/>
        <v>88</v>
      </c>
    </row>
    <row r="12" spans="2:19" ht="23.25" customHeight="1">
      <c r="B12" s="206" t="s">
        <v>62</v>
      </c>
      <c r="C12" s="1109" t="s">
        <v>61</v>
      </c>
      <c r="D12" s="872">
        <v>0</v>
      </c>
      <c r="E12" s="872">
        <v>10</v>
      </c>
      <c r="F12" s="1082"/>
      <c r="G12" s="879"/>
      <c r="H12" s="1082"/>
      <c r="I12" s="1082"/>
      <c r="J12" s="1082"/>
      <c r="K12" s="1082"/>
      <c r="L12" s="1082"/>
      <c r="M12" s="1082"/>
      <c r="N12" s="1082"/>
      <c r="O12" s="1082"/>
      <c r="P12" s="1082"/>
      <c r="Q12" s="1082"/>
      <c r="R12" s="756">
        <f t="shared" si="0"/>
        <v>0</v>
      </c>
      <c r="S12" s="1082">
        <f t="shared" si="0"/>
        <v>10</v>
      </c>
    </row>
    <row r="13" spans="2:19" ht="23.25" customHeight="1">
      <c r="B13" s="206" t="s">
        <v>63</v>
      </c>
      <c r="C13" s="1109" t="s">
        <v>64</v>
      </c>
      <c r="D13" s="872">
        <v>0</v>
      </c>
      <c r="E13" s="872">
        <v>74</v>
      </c>
      <c r="F13" s="1082"/>
      <c r="G13" s="879">
        <v>1</v>
      </c>
      <c r="H13" s="1082"/>
      <c r="I13" s="1082">
        <v>4</v>
      </c>
      <c r="J13" s="1082"/>
      <c r="K13" s="1082">
        <v>9</v>
      </c>
      <c r="L13" s="1082"/>
      <c r="M13" s="1082"/>
      <c r="N13" s="1082"/>
      <c r="O13" s="1082">
        <v>3</v>
      </c>
      <c r="P13" s="1082"/>
      <c r="Q13" s="1082"/>
      <c r="R13" s="756">
        <f t="shared" si="0"/>
        <v>0</v>
      </c>
      <c r="S13" s="1082">
        <f t="shared" si="0"/>
        <v>91</v>
      </c>
    </row>
    <row r="14" spans="2:19" ht="23.25" customHeight="1">
      <c r="B14" s="206" t="s">
        <v>65</v>
      </c>
      <c r="C14" s="1109" t="s">
        <v>66</v>
      </c>
      <c r="D14" s="872"/>
      <c r="E14" s="872"/>
      <c r="F14" s="1082"/>
      <c r="G14" s="879"/>
      <c r="H14" s="1082"/>
      <c r="I14" s="1082"/>
      <c r="J14" s="1082"/>
      <c r="K14" s="1082"/>
      <c r="L14" s="1082"/>
      <c r="M14" s="1082"/>
      <c r="N14" s="1082"/>
      <c r="O14" s="1082"/>
      <c r="P14" s="1082"/>
      <c r="Q14" s="1082"/>
      <c r="R14" s="756">
        <f t="shared" si="0"/>
        <v>0</v>
      </c>
      <c r="S14" s="1082">
        <f t="shared" si="0"/>
        <v>0</v>
      </c>
    </row>
    <row r="15" spans="2:19" ht="23.25" customHeight="1">
      <c r="B15" s="206" t="s">
        <v>67</v>
      </c>
      <c r="C15" s="1109" t="s">
        <v>68</v>
      </c>
      <c r="D15" s="872">
        <v>1581</v>
      </c>
      <c r="E15" s="872"/>
      <c r="F15" s="1082"/>
      <c r="G15" s="879"/>
      <c r="H15" s="1082"/>
      <c r="I15" s="1082"/>
      <c r="J15" s="1082"/>
      <c r="K15" s="1082"/>
      <c r="L15" s="1082"/>
      <c r="M15" s="1082"/>
      <c r="N15" s="1082"/>
      <c r="O15" s="1082"/>
      <c r="P15" s="1082"/>
      <c r="Q15" s="1082"/>
      <c r="R15" s="756">
        <f t="shared" si="0"/>
        <v>1581</v>
      </c>
      <c r="S15" s="1082">
        <f t="shared" si="0"/>
        <v>0</v>
      </c>
    </row>
    <row r="16" spans="2:19" ht="23.25" customHeight="1">
      <c r="B16" s="206" t="s">
        <v>69</v>
      </c>
      <c r="C16" s="1109" t="s">
        <v>70</v>
      </c>
      <c r="D16" s="872">
        <v>389</v>
      </c>
      <c r="E16" s="872">
        <v>296</v>
      </c>
      <c r="F16" s="1082"/>
      <c r="G16" s="879">
        <v>2</v>
      </c>
      <c r="H16" s="1082"/>
      <c r="I16" s="1082"/>
      <c r="J16" s="1082"/>
      <c r="K16" s="1082">
        <v>72</v>
      </c>
      <c r="L16" s="1082"/>
      <c r="M16" s="1082"/>
      <c r="N16" s="1082"/>
      <c r="O16" s="1082"/>
      <c r="P16" s="1082"/>
      <c r="Q16" s="1082"/>
      <c r="R16" s="756">
        <f t="shared" si="0"/>
        <v>389</v>
      </c>
      <c r="S16" s="1082">
        <f t="shared" si="0"/>
        <v>370</v>
      </c>
    </row>
    <row r="17" spans="2:19" ht="23.25" customHeight="1">
      <c r="B17" s="206" t="s">
        <v>71</v>
      </c>
      <c r="C17" s="1109" t="s">
        <v>72</v>
      </c>
      <c r="D17" s="872">
        <v>12</v>
      </c>
      <c r="E17" s="872">
        <v>0</v>
      </c>
      <c r="F17" s="1082"/>
      <c r="G17" s="879"/>
      <c r="H17" s="1082"/>
      <c r="I17" s="1082"/>
      <c r="J17" s="1082"/>
      <c r="K17" s="1082"/>
      <c r="L17" s="1082"/>
      <c r="M17" s="1082"/>
      <c r="N17" s="1082"/>
      <c r="O17" s="1082"/>
      <c r="P17" s="1082"/>
      <c r="Q17" s="1082"/>
      <c r="R17" s="756">
        <f t="shared" si="0"/>
        <v>12</v>
      </c>
      <c r="S17" s="1082">
        <f t="shared" si="0"/>
        <v>0</v>
      </c>
    </row>
    <row r="18" spans="2:19" ht="23.25" customHeight="1">
      <c r="B18" s="206" t="s">
        <v>73</v>
      </c>
      <c r="C18" s="1109" t="s">
        <v>74</v>
      </c>
      <c r="D18" s="872">
        <v>0</v>
      </c>
      <c r="E18" s="872">
        <v>33</v>
      </c>
      <c r="F18" s="1082"/>
      <c r="G18" s="879">
        <v>1</v>
      </c>
      <c r="H18" s="1082"/>
      <c r="I18" s="1082">
        <v>2</v>
      </c>
      <c r="J18" s="1082"/>
      <c r="K18" s="1082">
        <v>4</v>
      </c>
      <c r="L18" s="1082"/>
      <c r="M18" s="1082"/>
      <c r="N18" s="1082"/>
      <c r="O18" s="1082"/>
      <c r="P18" s="1082"/>
      <c r="Q18" s="1082"/>
      <c r="R18" s="756">
        <f t="shared" si="0"/>
        <v>0</v>
      </c>
      <c r="S18" s="1082">
        <f t="shared" si="0"/>
        <v>40</v>
      </c>
    </row>
    <row r="19" spans="2:19" ht="23.25" customHeight="1">
      <c r="B19" s="206" t="s">
        <v>75</v>
      </c>
      <c r="C19" s="1109" t="s">
        <v>76</v>
      </c>
      <c r="D19" s="872">
        <v>35</v>
      </c>
      <c r="E19" s="872">
        <v>30</v>
      </c>
      <c r="F19" s="1082"/>
      <c r="G19" s="879">
        <v>1</v>
      </c>
      <c r="H19" s="1082"/>
      <c r="I19" s="1082"/>
      <c r="J19" s="1082"/>
      <c r="K19" s="1082"/>
      <c r="L19" s="1082"/>
      <c r="M19" s="1082"/>
      <c r="N19" s="1082"/>
      <c r="O19" s="1082"/>
      <c r="P19" s="1082"/>
      <c r="Q19" s="1082"/>
      <c r="R19" s="756">
        <f t="shared" si="0"/>
        <v>35</v>
      </c>
      <c r="S19" s="1082">
        <f t="shared" si="0"/>
        <v>31</v>
      </c>
    </row>
    <row r="20" spans="2:19" ht="23.25" customHeight="1">
      <c r="B20" s="206" t="s">
        <v>77</v>
      </c>
      <c r="C20" s="1109" t="s">
        <v>78</v>
      </c>
      <c r="D20" s="872"/>
      <c r="E20" s="872"/>
      <c r="F20" s="1082"/>
      <c r="G20" s="879"/>
      <c r="H20" s="1082"/>
      <c r="I20" s="1082"/>
      <c r="J20" s="1082"/>
      <c r="K20" s="1082"/>
      <c r="L20" s="1082"/>
      <c r="M20" s="1082"/>
      <c r="N20" s="1082"/>
      <c r="O20" s="1082"/>
      <c r="P20" s="1082"/>
      <c r="Q20" s="1082"/>
      <c r="R20" s="756">
        <f t="shared" si="0"/>
        <v>0</v>
      </c>
      <c r="S20" s="1082">
        <f t="shared" si="0"/>
        <v>0</v>
      </c>
    </row>
    <row r="21" spans="2:19" ht="23.25" customHeight="1">
      <c r="B21" s="206" t="s">
        <v>79</v>
      </c>
      <c r="C21" s="1109" t="s">
        <v>80</v>
      </c>
      <c r="D21" s="872">
        <v>0</v>
      </c>
      <c r="E21" s="872">
        <v>7</v>
      </c>
      <c r="F21" s="1082"/>
      <c r="G21" s="879"/>
      <c r="H21" s="1082"/>
      <c r="I21" s="1082">
        <v>128</v>
      </c>
      <c r="J21" s="1082"/>
      <c r="K21" s="1082"/>
      <c r="L21" s="1082"/>
      <c r="M21" s="1082"/>
      <c r="N21" s="1082"/>
      <c r="O21" s="1082"/>
      <c r="P21" s="1082"/>
      <c r="Q21" s="1082"/>
      <c r="R21" s="756">
        <f t="shared" si="0"/>
        <v>0</v>
      </c>
      <c r="S21" s="1082">
        <f t="shared" si="0"/>
        <v>135</v>
      </c>
    </row>
    <row r="22" spans="2:19" ht="23.25" customHeight="1">
      <c r="B22" s="206" t="s">
        <v>7</v>
      </c>
      <c r="C22" s="1109" t="s">
        <v>81</v>
      </c>
      <c r="D22" s="872"/>
      <c r="E22" s="872"/>
      <c r="F22" s="1082"/>
      <c r="G22" s="879"/>
      <c r="H22" s="1082"/>
      <c r="I22" s="1082"/>
      <c r="J22" s="1082"/>
      <c r="K22" s="1082"/>
      <c r="L22" s="1082"/>
      <c r="M22" s="1082"/>
      <c r="N22" s="1082"/>
      <c r="O22" s="1082"/>
      <c r="P22" s="1082"/>
      <c r="Q22" s="1082"/>
      <c r="R22" s="756">
        <f t="shared" si="0"/>
        <v>0</v>
      </c>
      <c r="S22" s="1082">
        <f t="shared" si="0"/>
        <v>0</v>
      </c>
    </row>
    <row r="23" spans="2:19" ht="23.25" customHeight="1">
      <c r="B23" s="206"/>
      <c r="C23" s="1109" t="s">
        <v>84</v>
      </c>
      <c r="D23" s="872"/>
      <c r="E23" s="872"/>
      <c r="F23" s="1082"/>
      <c r="G23" s="879"/>
      <c r="H23" s="1082"/>
      <c r="I23" s="1082"/>
      <c r="J23" s="1082"/>
      <c r="K23" s="1082"/>
      <c r="L23" s="1082"/>
      <c r="M23" s="1082"/>
      <c r="N23" s="1082"/>
      <c r="O23" s="1082"/>
      <c r="P23" s="1082"/>
      <c r="Q23" s="1082"/>
      <c r="R23" s="756">
        <f t="shared" si="0"/>
        <v>0</v>
      </c>
      <c r="S23" s="1082">
        <f t="shared" si="0"/>
        <v>0</v>
      </c>
    </row>
    <row r="24" spans="2:19" ht="23.25" customHeight="1">
      <c r="B24" s="259">
        <v>2</v>
      </c>
      <c r="C24" s="1109" t="s">
        <v>28</v>
      </c>
      <c r="D24" s="872">
        <v>7007.3</v>
      </c>
      <c r="E24" s="872">
        <v>6173</v>
      </c>
      <c r="F24" s="1082"/>
      <c r="G24" s="879">
        <v>3</v>
      </c>
      <c r="H24" s="1082"/>
      <c r="I24" s="1082">
        <v>181</v>
      </c>
      <c r="J24" s="1082"/>
      <c r="K24" s="1082">
        <v>2479</v>
      </c>
      <c r="L24" s="1082"/>
      <c r="M24" s="1082"/>
      <c r="N24" s="1082"/>
      <c r="O24" s="1082">
        <v>273</v>
      </c>
      <c r="P24" s="1082"/>
      <c r="Q24" s="1082"/>
      <c r="R24" s="756">
        <f t="shared" si="0"/>
        <v>7007.3</v>
      </c>
      <c r="S24" s="1082">
        <f t="shared" si="0"/>
        <v>9109</v>
      </c>
    </row>
    <row r="25" spans="2:19" ht="23.25" customHeight="1">
      <c r="B25" s="206" t="s">
        <v>244</v>
      </c>
      <c r="C25" s="1109" t="s">
        <v>85</v>
      </c>
      <c r="D25" s="872"/>
      <c r="E25" s="872"/>
      <c r="F25" s="1082"/>
      <c r="G25" s="879"/>
      <c r="H25" s="1082"/>
      <c r="I25" s="1082"/>
      <c r="J25" s="1082"/>
      <c r="K25" s="1082"/>
      <c r="L25" s="1082"/>
      <c r="M25" s="1082"/>
      <c r="N25" s="1082"/>
      <c r="O25" s="1082"/>
      <c r="P25" s="1082"/>
      <c r="Q25" s="1082"/>
      <c r="R25" s="756">
        <f t="shared" si="0"/>
        <v>0</v>
      </c>
      <c r="S25" s="1082">
        <f t="shared" si="0"/>
        <v>0</v>
      </c>
    </row>
    <row r="26" spans="2:19" ht="23.25" customHeight="1">
      <c r="B26" s="206"/>
      <c r="C26" s="1109" t="s">
        <v>506</v>
      </c>
      <c r="D26" s="872"/>
      <c r="E26" s="872"/>
      <c r="F26" s="1082"/>
      <c r="G26" s="879"/>
      <c r="H26" s="1082"/>
      <c r="I26" s="1082"/>
      <c r="J26" s="1082"/>
      <c r="K26" s="1082"/>
      <c r="L26" s="1082"/>
      <c r="M26" s="1082"/>
      <c r="N26" s="1082"/>
      <c r="O26" s="1082"/>
      <c r="P26" s="1082"/>
      <c r="Q26" s="1082"/>
      <c r="R26" s="756">
        <f t="shared" si="0"/>
        <v>0</v>
      </c>
      <c r="S26" s="1082">
        <f t="shared" si="0"/>
        <v>0</v>
      </c>
    </row>
    <row r="27" spans="2:19" ht="23.25" customHeight="1">
      <c r="B27" s="206"/>
      <c r="C27" s="1109" t="s">
        <v>507</v>
      </c>
      <c r="D27" s="872"/>
      <c r="E27" s="872"/>
      <c r="F27" s="1082"/>
      <c r="G27" s="879"/>
      <c r="H27" s="1082"/>
      <c r="I27" s="1082"/>
      <c r="J27" s="1082"/>
      <c r="K27" s="1082"/>
      <c r="L27" s="1082"/>
      <c r="M27" s="1082"/>
      <c r="N27" s="1082"/>
      <c r="O27" s="1082"/>
      <c r="P27" s="1082"/>
      <c r="Q27" s="1082"/>
      <c r="R27" s="756">
        <f t="shared" si="0"/>
        <v>0</v>
      </c>
      <c r="S27" s="1082">
        <f t="shared" si="0"/>
        <v>0</v>
      </c>
    </row>
    <row r="28" spans="2:19" ht="23.25" customHeight="1">
      <c r="B28" s="206" t="s">
        <v>245</v>
      </c>
      <c r="C28" s="1109" t="s">
        <v>86</v>
      </c>
      <c r="D28" s="872"/>
      <c r="E28" s="872">
        <v>20</v>
      </c>
      <c r="F28" s="1082"/>
      <c r="G28" s="879"/>
      <c r="H28" s="1082"/>
      <c r="I28" s="1082">
        <v>1</v>
      </c>
      <c r="J28" s="1082"/>
      <c r="K28" s="1082">
        <v>1829</v>
      </c>
      <c r="L28" s="1082"/>
      <c r="M28" s="1082"/>
      <c r="N28" s="1082"/>
      <c r="O28" s="1082">
        <v>20</v>
      </c>
      <c r="P28" s="1082"/>
      <c r="Q28" s="1082"/>
      <c r="R28" s="756">
        <f t="shared" si="0"/>
        <v>0</v>
      </c>
      <c r="S28" s="1082">
        <f t="shared" si="0"/>
        <v>1870</v>
      </c>
    </row>
    <row r="29" spans="2:19" ht="23.25" customHeight="1">
      <c r="B29" s="206" t="s">
        <v>17</v>
      </c>
      <c r="C29" s="1109" t="s">
        <v>485</v>
      </c>
      <c r="D29" s="872"/>
      <c r="E29" s="872">
        <v>56</v>
      </c>
      <c r="F29" s="1082"/>
      <c r="G29" s="879"/>
      <c r="H29" s="1082"/>
      <c r="I29" s="1082">
        <v>2</v>
      </c>
      <c r="J29" s="1082"/>
      <c r="K29" s="1082">
        <v>5</v>
      </c>
      <c r="L29" s="1082"/>
      <c r="M29" s="1082"/>
      <c r="N29" s="1082"/>
      <c r="O29" s="1082">
        <v>68</v>
      </c>
      <c r="P29" s="1082"/>
      <c r="Q29" s="1082"/>
      <c r="R29" s="756">
        <f t="shared" si="0"/>
        <v>0</v>
      </c>
      <c r="S29" s="1082">
        <f t="shared" si="0"/>
        <v>131</v>
      </c>
    </row>
    <row r="30" spans="2:19" ht="23.25" customHeight="1">
      <c r="B30" s="206" t="s">
        <v>18</v>
      </c>
      <c r="C30" s="1109" t="s">
        <v>590</v>
      </c>
      <c r="D30" s="872">
        <v>508.5</v>
      </c>
      <c r="E30" s="872">
        <v>1206</v>
      </c>
      <c r="F30" s="1082"/>
      <c r="G30" s="879"/>
      <c r="H30" s="1082"/>
      <c r="I30" s="1082"/>
      <c r="J30" s="1082"/>
      <c r="K30" s="1082"/>
      <c r="L30" s="1082"/>
      <c r="M30" s="1082"/>
      <c r="N30" s="1082"/>
      <c r="O30" s="1082"/>
      <c r="P30" s="1082"/>
      <c r="Q30" s="1082"/>
      <c r="R30" s="756">
        <f t="shared" si="0"/>
        <v>508.5</v>
      </c>
      <c r="S30" s="1082">
        <f t="shared" si="0"/>
        <v>1206</v>
      </c>
    </row>
    <row r="31" spans="2:19" ht="23.25" customHeight="1">
      <c r="B31" s="206" t="s">
        <v>19</v>
      </c>
      <c r="C31" s="1109" t="s">
        <v>87</v>
      </c>
      <c r="D31" s="872">
        <v>47.3</v>
      </c>
      <c r="E31" s="872">
        <v>40</v>
      </c>
      <c r="F31" s="1082"/>
      <c r="G31" s="879"/>
      <c r="H31" s="1082"/>
      <c r="I31" s="1082">
        <v>45</v>
      </c>
      <c r="J31" s="1082"/>
      <c r="K31" s="1082">
        <v>52</v>
      </c>
      <c r="L31" s="1082"/>
      <c r="M31" s="1082"/>
      <c r="N31" s="1082"/>
      <c r="O31" s="1082">
        <v>1</v>
      </c>
      <c r="P31" s="1082"/>
      <c r="Q31" s="1082"/>
      <c r="R31" s="756">
        <f t="shared" si="0"/>
        <v>47.3</v>
      </c>
      <c r="S31" s="1082">
        <f t="shared" si="0"/>
        <v>138</v>
      </c>
    </row>
    <row r="32" spans="2:19" ht="23.25" customHeight="1">
      <c r="B32" s="206" t="s">
        <v>88</v>
      </c>
      <c r="C32" s="1109" t="s">
        <v>89</v>
      </c>
      <c r="D32" s="872">
        <v>18</v>
      </c>
      <c r="E32" s="872">
        <v>40</v>
      </c>
      <c r="F32" s="1082"/>
      <c r="G32" s="879"/>
      <c r="H32" s="1082"/>
      <c r="I32" s="1082">
        <v>2</v>
      </c>
      <c r="J32" s="1082"/>
      <c r="K32" s="1082">
        <v>5</v>
      </c>
      <c r="L32" s="1082"/>
      <c r="M32" s="1082"/>
      <c r="N32" s="1082"/>
      <c r="O32" s="1082">
        <v>1</v>
      </c>
      <c r="P32" s="1082"/>
      <c r="Q32" s="1082"/>
      <c r="R32" s="756">
        <f t="shared" si="0"/>
        <v>18</v>
      </c>
      <c r="S32" s="1082">
        <f t="shared" si="0"/>
        <v>48</v>
      </c>
    </row>
    <row r="33" spans="2:20" ht="23.25" customHeight="1">
      <c r="B33" s="206" t="s">
        <v>90</v>
      </c>
      <c r="C33" s="1109" t="s">
        <v>91</v>
      </c>
      <c r="D33" s="872"/>
      <c r="E33" s="872"/>
      <c r="F33" s="1082"/>
      <c r="G33" s="879"/>
      <c r="H33" s="1082"/>
      <c r="I33" s="1082"/>
      <c r="J33" s="1082"/>
      <c r="K33" s="1082"/>
      <c r="L33" s="1082"/>
      <c r="M33" s="1082"/>
      <c r="N33" s="1082"/>
      <c r="O33" s="1082"/>
      <c r="P33" s="1082"/>
      <c r="Q33" s="1082"/>
      <c r="R33" s="756">
        <f t="shared" si="0"/>
        <v>0</v>
      </c>
      <c r="S33" s="1082">
        <f t="shared" si="0"/>
        <v>0</v>
      </c>
    </row>
    <row r="34" spans="2:20" ht="23.25" customHeight="1">
      <c r="B34" s="206" t="s">
        <v>92</v>
      </c>
      <c r="C34" s="1109" t="s">
        <v>93</v>
      </c>
      <c r="D34" s="872">
        <v>29.3</v>
      </c>
      <c r="E34" s="872"/>
      <c r="F34" s="1082"/>
      <c r="G34" s="879"/>
      <c r="H34" s="1082"/>
      <c r="I34" s="1082">
        <v>43</v>
      </c>
      <c r="J34" s="1082"/>
      <c r="K34" s="1082">
        <v>47</v>
      </c>
      <c r="L34" s="1082"/>
      <c r="M34" s="1082"/>
      <c r="N34" s="1082"/>
      <c r="O34" s="1082"/>
      <c r="P34" s="1082"/>
      <c r="Q34" s="1082"/>
      <c r="R34" s="756">
        <f t="shared" si="0"/>
        <v>29.3</v>
      </c>
      <c r="S34" s="1082">
        <f t="shared" si="0"/>
        <v>90</v>
      </c>
    </row>
    <row r="35" spans="2:20" ht="23.25" customHeight="1">
      <c r="B35" s="206" t="s">
        <v>20</v>
      </c>
      <c r="C35" s="1109" t="s">
        <v>94</v>
      </c>
      <c r="D35" s="872">
        <v>4502.6000000000004</v>
      </c>
      <c r="E35" s="872">
        <v>3064</v>
      </c>
      <c r="F35" s="1082"/>
      <c r="G35" s="879">
        <v>1</v>
      </c>
      <c r="H35" s="1082"/>
      <c r="I35" s="1082">
        <v>94</v>
      </c>
      <c r="J35" s="1082"/>
      <c r="K35" s="1082">
        <v>535</v>
      </c>
      <c r="L35" s="1082"/>
      <c r="M35" s="1082"/>
      <c r="N35" s="1082"/>
      <c r="O35" s="1082">
        <v>161</v>
      </c>
      <c r="P35" s="1082"/>
      <c r="Q35" s="1082"/>
      <c r="R35" s="756">
        <f t="shared" si="0"/>
        <v>4502.6000000000004</v>
      </c>
      <c r="S35" s="1082">
        <f t="shared" si="0"/>
        <v>3855</v>
      </c>
    </row>
    <row r="36" spans="2:20" ht="23.25" customHeight="1">
      <c r="B36" s="206" t="s">
        <v>96</v>
      </c>
      <c r="C36" s="1109" t="s">
        <v>95</v>
      </c>
      <c r="D36" s="872"/>
      <c r="E36" s="872">
        <v>49</v>
      </c>
      <c r="F36" s="1082"/>
      <c r="G36" s="879">
        <v>2</v>
      </c>
      <c r="H36" s="1082"/>
      <c r="I36" s="1082">
        <v>39</v>
      </c>
      <c r="J36" s="1082"/>
      <c r="K36" s="1082">
        <v>37</v>
      </c>
      <c r="L36" s="1082"/>
      <c r="M36" s="1082"/>
      <c r="N36" s="1082"/>
      <c r="O36" s="1082">
        <v>23</v>
      </c>
      <c r="P36" s="1082"/>
      <c r="Q36" s="1082"/>
      <c r="R36" s="756">
        <f t="shared" si="0"/>
        <v>0</v>
      </c>
      <c r="S36" s="1082">
        <f t="shared" si="0"/>
        <v>150</v>
      </c>
    </row>
    <row r="37" spans="2:20" ht="23.25" customHeight="1">
      <c r="B37" s="206" t="s">
        <v>97</v>
      </c>
      <c r="C37" s="1109" t="s">
        <v>98</v>
      </c>
      <c r="D37" s="872"/>
      <c r="E37" s="872"/>
      <c r="F37" s="1082"/>
      <c r="G37" s="879"/>
      <c r="H37" s="1082"/>
      <c r="I37" s="1082"/>
      <c r="J37" s="1082"/>
      <c r="K37" s="1082"/>
      <c r="L37" s="1082"/>
      <c r="M37" s="1082"/>
      <c r="N37" s="1082"/>
      <c r="O37" s="1082"/>
      <c r="P37" s="1082"/>
      <c r="Q37" s="1082"/>
      <c r="R37" s="756">
        <f t="shared" si="0"/>
        <v>0</v>
      </c>
      <c r="S37" s="1082">
        <f t="shared" si="0"/>
        <v>0</v>
      </c>
    </row>
    <row r="38" spans="2:20" ht="23.25" customHeight="1">
      <c r="B38" s="206" t="s">
        <v>99</v>
      </c>
      <c r="C38" s="294" t="s">
        <v>674</v>
      </c>
      <c r="D38" s="872"/>
      <c r="E38" s="872"/>
      <c r="F38" s="1082"/>
      <c r="G38" s="879"/>
      <c r="H38" s="1082"/>
      <c r="I38" s="1082"/>
      <c r="J38" s="1082"/>
      <c r="K38" s="1082"/>
      <c r="L38" s="1082"/>
      <c r="M38" s="1082"/>
      <c r="N38" s="1082"/>
      <c r="O38" s="1082"/>
      <c r="P38" s="1082"/>
      <c r="Q38" s="1082"/>
      <c r="R38" s="756">
        <f t="shared" si="0"/>
        <v>0</v>
      </c>
      <c r="S38" s="1082">
        <f t="shared" si="0"/>
        <v>0</v>
      </c>
    </row>
    <row r="39" spans="2:20" ht="23.25" customHeight="1">
      <c r="B39" s="872" t="s">
        <v>100</v>
      </c>
      <c r="C39" s="1082" t="s">
        <v>101</v>
      </c>
      <c r="D39" s="872">
        <v>837.8</v>
      </c>
      <c r="E39" s="872">
        <v>1738</v>
      </c>
      <c r="F39" s="1082"/>
      <c r="G39" s="879"/>
      <c r="H39" s="1082"/>
      <c r="I39" s="1082"/>
      <c r="J39" s="1082"/>
      <c r="K39" s="1082">
        <v>21</v>
      </c>
      <c r="L39" s="1082"/>
      <c r="M39" s="1082"/>
      <c r="N39" s="1082"/>
      <c r="O39" s="1082"/>
      <c r="P39" s="1082"/>
      <c r="Q39" s="1082"/>
      <c r="R39" s="756">
        <f t="shared" si="0"/>
        <v>837.8</v>
      </c>
      <c r="S39" s="1082">
        <f t="shared" si="0"/>
        <v>1759</v>
      </c>
    </row>
    <row r="40" spans="2:20" ht="23.25" customHeight="1">
      <c r="B40" s="872" t="s">
        <v>102</v>
      </c>
      <c r="C40" s="1082" t="s">
        <v>103</v>
      </c>
      <c r="D40" s="872"/>
      <c r="E40" s="872"/>
      <c r="F40" s="1082"/>
      <c r="G40" s="879"/>
      <c r="H40" s="1082"/>
      <c r="I40" s="1082"/>
      <c r="J40" s="1082"/>
      <c r="K40" s="1082"/>
      <c r="L40" s="1082"/>
      <c r="M40" s="1082"/>
      <c r="N40" s="1082"/>
      <c r="O40" s="1082"/>
      <c r="P40" s="1082"/>
      <c r="Q40" s="1082"/>
      <c r="R40" s="756">
        <f t="shared" si="0"/>
        <v>0</v>
      </c>
      <c r="S40" s="1082">
        <f t="shared" si="0"/>
        <v>0</v>
      </c>
    </row>
    <row r="41" spans="2:20" ht="23.25" customHeight="1">
      <c r="B41" s="872" t="s">
        <v>21</v>
      </c>
      <c r="C41" s="1082" t="s">
        <v>1058</v>
      </c>
      <c r="D41" s="872">
        <v>12757.157999999999</v>
      </c>
      <c r="E41" s="872">
        <v>18849</v>
      </c>
      <c r="F41" s="1082"/>
      <c r="G41" s="879"/>
      <c r="H41" s="1082"/>
      <c r="I41" s="1082"/>
      <c r="J41" s="1082"/>
      <c r="K41" s="1082"/>
      <c r="L41" s="1082"/>
      <c r="M41" s="1082"/>
      <c r="N41" s="1082"/>
      <c r="O41" s="1082"/>
      <c r="P41" s="1082"/>
      <c r="Q41" s="1082"/>
      <c r="R41" s="756">
        <f t="shared" si="0"/>
        <v>12757.157999999999</v>
      </c>
      <c r="S41" s="1082">
        <f t="shared" si="0"/>
        <v>18849</v>
      </c>
    </row>
    <row r="42" spans="2:20">
      <c r="B42" s="872" t="s">
        <v>629</v>
      </c>
      <c r="C42" s="1082" t="s">
        <v>1049</v>
      </c>
      <c r="D42" s="872">
        <v>44150.51</v>
      </c>
      <c r="E42" s="872">
        <f>SUM(E3+E24+E41)</f>
        <v>38936</v>
      </c>
      <c r="F42" s="1082"/>
      <c r="G42" s="879">
        <f>SUM(G3+G24+G41)</f>
        <v>12</v>
      </c>
      <c r="H42" s="1082"/>
      <c r="I42" s="1082">
        <f>SUM(I3+I24+I41)</f>
        <v>1880</v>
      </c>
      <c r="J42" s="1082"/>
      <c r="K42" s="1082">
        <f>SUM(K3+K24+K41)</f>
        <v>5317</v>
      </c>
      <c r="L42" s="1082"/>
      <c r="M42" s="1082"/>
      <c r="N42" s="1082"/>
      <c r="O42" s="1082">
        <f>SUM(O3+O24+O41)</f>
        <v>1148</v>
      </c>
      <c r="P42" s="1082"/>
      <c r="Q42" s="1082"/>
      <c r="R42" s="756">
        <f t="shared" si="0"/>
        <v>44150.51</v>
      </c>
      <c r="S42" s="1082">
        <f t="shared" si="0"/>
        <v>47293</v>
      </c>
    </row>
    <row r="43" spans="2:20">
      <c r="B43" s="872" t="s">
        <v>630</v>
      </c>
      <c r="C43" s="1082" t="s">
        <v>1051</v>
      </c>
      <c r="D43" s="872"/>
      <c r="E43" s="872">
        <v>44846</v>
      </c>
      <c r="F43" s="1082"/>
      <c r="G43" s="879">
        <v>29</v>
      </c>
      <c r="H43" s="1082"/>
      <c r="I43" s="1082">
        <v>2311</v>
      </c>
      <c r="J43" s="1082"/>
      <c r="K43" s="1082">
        <v>5165</v>
      </c>
      <c r="L43" s="1082"/>
      <c r="M43" s="1082"/>
      <c r="N43" s="1082"/>
      <c r="O43" s="1082">
        <v>1359</v>
      </c>
      <c r="P43" s="1082"/>
      <c r="Q43" s="1082"/>
      <c r="R43" s="756">
        <f t="shared" si="0"/>
        <v>0</v>
      </c>
      <c r="S43" s="1082">
        <f t="shared" si="0"/>
        <v>53710</v>
      </c>
    </row>
    <row r="44" spans="2:20">
      <c r="B44" s="206"/>
      <c r="C44" s="1082"/>
      <c r="D44" s="872"/>
      <c r="E44" s="872"/>
      <c r="F44" s="1082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S44" s="225"/>
      <c r="T44" s="225"/>
    </row>
    <row r="45" spans="2:20">
      <c r="B45" s="206"/>
      <c r="C45" s="1082" t="s">
        <v>1060</v>
      </c>
      <c r="D45" s="872"/>
      <c r="E45" s="872"/>
      <c r="F45" s="1082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S45" s="225"/>
    </row>
    <row r="46" spans="2:20">
      <c r="B46" s="872">
        <v>6</v>
      </c>
      <c r="C46" s="1082" t="s">
        <v>1059</v>
      </c>
      <c r="D46" s="872"/>
      <c r="E46" s="872">
        <v>5910</v>
      </c>
      <c r="F46" s="1082"/>
      <c r="G46" s="879">
        <v>178</v>
      </c>
      <c r="H46" s="1082"/>
      <c r="I46" s="1082">
        <f>I22+I31+I40</f>
        <v>45</v>
      </c>
      <c r="J46" s="1082"/>
      <c r="K46" s="1082">
        <v>-152</v>
      </c>
      <c r="L46" s="1082"/>
      <c r="M46" s="1082">
        <f>M22+M31+M40</f>
        <v>0</v>
      </c>
      <c r="N46" s="1082"/>
      <c r="O46" s="1082">
        <v>211</v>
      </c>
      <c r="P46" s="1082"/>
      <c r="Q46" s="1082">
        <f>Q22+Q31+Q40</f>
        <v>0</v>
      </c>
      <c r="R46" s="756">
        <f t="shared" si="0"/>
        <v>0</v>
      </c>
      <c r="S46" s="1082">
        <f t="shared" si="0"/>
        <v>6192</v>
      </c>
    </row>
    <row r="47" spans="2:20">
      <c r="B47" s="872">
        <v>7</v>
      </c>
      <c r="C47" s="1082" t="s">
        <v>1061</v>
      </c>
      <c r="D47" s="1154">
        <f>D40+D22</f>
        <v>0</v>
      </c>
      <c r="E47" s="872">
        <f t="shared" ref="E47:S47" si="1">E40+E22</f>
        <v>0</v>
      </c>
      <c r="F47" s="1082">
        <f t="shared" si="1"/>
        <v>0</v>
      </c>
      <c r="G47" s="1146">
        <f t="shared" si="1"/>
        <v>0</v>
      </c>
      <c r="H47" s="756">
        <f t="shared" si="1"/>
        <v>0</v>
      </c>
      <c r="I47" s="756">
        <f t="shared" si="1"/>
        <v>0</v>
      </c>
      <c r="J47" s="756">
        <f t="shared" si="1"/>
        <v>0</v>
      </c>
      <c r="K47" s="756">
        <f t="shared" si="1"/>
        <v>0</v>
      </c>
      <c r="L47" s="756">
        <f t="shared" si="1"/>
        <v>0</v>
      </c>
      <c r="M47" s="756">
        <f t="shared" si="1"/>
        <v>0</v>
      </c>
      <c r="N47" s="756">
        <f t="shared" si="1"/>
        <v>0</v>
      </c>
      <c r="O47" s="756">
        <f t="shared" si="1"/>
        <v>0</v>
      </c>
      <c r="P47" s="756">
        <f t="shared" si="1"/>
        <v>0</v>
      </c>
      <c r="Q47" s="756">
        <f t="shared" si="1"/>
        <v>0</v>
      </c>
      <c r="R47" s="756">
        <f t="shared" si="1"/>
        <v>0</v>
      </c>
      <c r="S47" s="756">
        <f t="shared" si="1"/>
        <v>0</v>
      </c>
    </row>
  </sheetData>
  <mergeCells count="9">
    <mergeCell ref="N1:O1"/>
    <mergeCell ref="P1:Q1"/>
    <mergeCell ref="R1:S1"/>
    <mergeCell ref="C1:C2"/>
    <mergeCell ref="B1:B2"/>
    <mergeCell ref="H1:I1"/>
    <mergeCell ref="F1:G1"/>
    <mergeCell ref="J1:K1"/>
    <mergeCell ref="L1:M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B6:I25"/>
  <sheetViews>
    <sheetView workbookViewId="0"/>
  </sheetViews>
  <sheetFormatPr defaultRowHeight="12.75"/>
  <cols>
    <col min="5" max="5" width="16.5703125" customWidth="1"/>
    <col min="6" max="6" width="12.42578125" customWidth="1"/>
    <col min="7" max="7" width="14.7109375" customWidth="1"/>
    <col min="8" max="8" width="15.5703125" customWidth="1"/>
    <col min="9" max="9" width="13.28515625" customWidth="1"/>
  </cols>
  <sheetData>
    <row r="6" spans="2:9" ht="30" customHeight="1">
      <c r="B6" s="1654" t="s">
        <v>1084</v>
      </c>
      <c r="C6" s="1654"/>
      <c r="D6" s="1654"/>
      <c r="E6" s="1654"/>
      <c r="F6" s="1654"/>
      <c r="G6" s="1654"/>
      <c r="H6" s="1654"/>
      <c r="I6" s="1654"/>
    </row>
    <row r="9" spans="2:9">
      <c r="B9" s="1650" t="s">
        <v>1062</v>
      </c>
      <c r="C9" s="1650" t="s">
        <v>805</v>
      </c>
      <c r="D9" s="1650" t="s">
        <v>1063</v>
      </c>
      <c r="E9" s="1650" t="s">
        <v>1064</v>
      </c>
      <c r="F9" s="1650" t="s">
        <v>1065</v>
      </c>
      <c r="G9" s="1650" t="s">
        <v>1066</v>
      </c>
      <c r="H9" s="1650"/>
      <c r="I9" s="1650"/>
    </row>
    <row r="10" spans="2:9">
      <c r="B10" s="1650"/>
      <c r="C10" s="1650"/>
      <c r="D10" s="1650"/>
      <c r="E10" s="1650"/>
      <c r="F10" s="1650"/>
      <c r="G10" s="247" t="s">
        <v>1067</v>
      </c>
      <c r="H10" s="247" t="s">
        <v>1068</v>
      </c>
      <c r="I10" s="247" t="s">
        <v>1069</v>
      </c>
    </row>
    <row r="11" spans="2:9">
      <c r="B11" s="1650"/>
      <c r="C11" s="872" t="s">
        <v>806</v>
      </c>
      <c r="D11" s="872" t="s">
        <v>810</v>
      </c>
      <c r="E11" s="872" t="s">
        <v>1070</v>
      </c>
      <c r="F11" s="872" t="s">
        <v>1071</v>
      </c>
      <c r="G11" s="872" t="s">
        <v>271</v>
      </c>
      <c r="H11" s="872" t="s">
        <v>271</v>
      </c>
      <c r="I11" s="872" t="s">
        <v>271</v>
      </c>
    </row>
    <row r="12" spans="2:9">
      <c r="B12" s="247" t="s">
        <v>1072</v>
      </c>
      <c r="C12" s="247"/>
      <c r="D12" s="247"/>
      <c r="E12" s="247"/>
      <c r="F12" s="247"/>
      <c r="G12" s="756">
        <f>C12*E12</f>
        <v>0</v>
      </c>
      <c r="H12" s="756">
        <f>D12*F12</f>
        <v>0</v>
      </c>
      <c r="I12" s="756">
        <f t="shared" ref="I12:I23" si="0">G12+H12</f>
        <v>0</v>
      </c>
    </row>
    <row r="13" spans="2:9">
      <c r="B13" s="247" t="s">
        <v>1073</v>
      </c>
      <c r="C13" s="247"/>
      <c r="D13" s="247"/>
      <c r="E13" s="247"/>
      <c r="F13" s="247"/>
      <c r="G13" s="756">
        <f t="shared" ref="G13:H23" si="1">C13*E13</f>
        <v>0</v>
      </c>
      <c r="H13" s="756">
        <f t="shared" si="1"/>
        <v>0</v>
      </c>
      <c r="I13" s="756">
        <f t="shared" si="0"/>
        <v>0</v>
      </c>
    </row>
    <row r="14" spans="2:9">
      <c r="B14" s="247" t="s">
        <v>1074</v>
      </c>
      <c r="C14" s="247"/>
      <c r="D14" s="247"/>
      <c r="E14" s="247"/>
      <c r="F14" s="247"/>
      <c r="G14" s="756">
        <f t="shared" si="1"/>
        <v>0</v>
      </c>
      <c r="H14" s="756">
        <f t="shared" si="1"/>
        <v>0</v>
      </c>
      <c r="I14" s="756">
        <f t="shared" si="0"/>
        <v>0</v>
      </c>
    </row>
    <row r="15" spans="2:9">
      <c r="B15" s="247" t="s">
        <v>1075</v>
      </c>
      <c r="C15" s="247"/>
      <c r="D15" s="247"/>
      <c r="E15" s="247"/>
      <c r="F15" s="247"/>
      <c r="G15" s="756">
        <f t="shared" si="1"/>
        <v>0</v>
      </c>
      <c r="H15" s="756">
        <f t="shared" si="1"/>
        <v>0</v>
      </c>
      <c r="I15" s="756">
        <f t="shared" si="0"/>
        <v>0</v>
      </c>
    </row>
    <row r="16" spans="2:9">
      <c r="B16" s="247" t="s">
        <v>1076</v>
      </c>
      <c r="C16" s="247"/>
      <c r="D16" s="247"/>
      <c r="E16" s="247"/>
      <c r="F16" s="247"/>
      <c r="G16" s="756">
        <f t="shared" si="1"/>
        <v>0</v>
      </c>
      <c r="H16" s="756">
        <f t="shared" si="1"/>
        <v>0</v>
      </c>
      <c r="I16" s="756">
        <f t="shared" si="0"/>
        <v>0</v>
      </c>
    </row>
    <row r="17" spans="2:9">
      <c r="B17" s="247" t="s">
        <v>1077</v>
      </c>
      <c r="C17" s="247"/>
      <c r="D17" s="247"/>
      <c r="E17" s="247"/>
      <c r="F17" s="247"/>
      <c r="G17" s="756">
        <f t="shared" si="1"/>
        <v>0</v>
      </c>
      <c r="H17" s="756">
        <f t="shared" si="1"/>
        <v>0</v>
      </c>
      <c r="I17" s="756">
        <f t="shared" si="0"/>
        <v>0</v>
      </c>
    </row>
    <row r="18" spans="2:9">
      <c r="B18" s="247" t="s">
        <v>1078</v>
      </c>
      <c r="C18" s="247"/>
      <c r="D18" s="247"/>
      <c r="E18" s="247"/>
      <c r="F18" s="247"/>
      <c r="G18" s="756">
        <f t="shared" si="1"/>
        <v>0</v>
      </c>
      <c r="H18" s="756">
        <f t="shared" si="1"/>
        <v>0</v>
      </c>
      <c r="I18" s="756">
        <f t="shared" si="0"/>
        <v>0</v>
      </c>
    </row>
    <row r="19" spans="2:9">
      <c r="B19" s="247" t="s">
        <v>1079</v>
      </c>
      <c r="C19" s="247"/>
      <c r="D19" s="247"/>
      <c r="E19" s="247"/>
      <c r="F19" s="247"/>
      <c r="G19" s="756">
        <f t="shared" si="1"/>
        <v>0</v>
      </c>
      <c r="H19" s="756">
        <f t="shared" si="1"/>
        <v>0</v>
      </c>
      <c r="I19" s="756">
        <f t="shared" si="0"/>
        <v>0</v>
      </c>
    </row>
    <row r="20" spans="2:9">
      <c r="B20" s="247" t="s">
        <v>1080</v>
      </c>
      <c r="C20" s="247"/>
      <c r="D20" s="247"/>
      <c r="E20" s="247"/>
      <c r="F20" s="247"/>
      <c r="G20" s="756">
        <f t="shared" si="1"/>
        <v>0</v>
      </c>
      <c r="H20" s="756">
        <f t="shared" si="1"/>
        <v>0</v>
      </c>
      <c r="I20" s="756">
        <f t="shared" si="0"/>
        <v>0</v>
      </c>
    </row>
    <row r="21" spans="2:9">
      <c r="B21" s="247" t="s">
        <v>1081</v>
      </c>
      <c r="C21" s="247"/>
      <c r="D21" s="247"/>
      <c r="E21" s="247"/>
      <c r="F21" s="247"/>
      <c r="G21" s="756">
        <f t="shared" si="1"/>
        <v>0</v>
      </c>
      <c r="H21" s="756">
        <f t="shared" si="1"/>
        <v>0</v>
      </c>
      <c r="I21" s="756">
        <f t="shared" si="0"/>
        <v>0</v>
      </c>
    </row>
    <row r="22" spans="2:9">
      <c r="B22" s="247" t="s">
        <v>1082</v>
      </c>
      <c r="C22" s="247"/>
      <c r="D22" s="247"/>
      <c r="E22" s="247"/>
      <c r="F22" s="247"/>
      <c r="G22" s="756">
        <f t="shared" si="1"/>
        <v>0</v>
      </c>
      <c r="H22" s="756">
        <f t="shared" si="1"/>
        <v>0</v>
      </c>
      <c r="I22" s="756">
        <f t="shared" si="0"/>
        <v>0</v>
      </c>
    </row>
    <row r="23" spans="2:9">
      <c r="B23" s="247" t="s">
        <v>1083</v>
      </c>
      <c r="C23" s="247"/>
      <c r="D23" s="247"/>
      <c r="E23" s="247"/>
      <c r="F23" s="247"/>
      <c r="G23" s="756">
        <f t="shared" si="1"/>
        <v>0</v>
      </c>
      <c r="H23" s="756">
        <f t="shared" si="1"/>
        <v>0</v>
      </c>
      <c r="I23" s="756">
        <f t="shared" si="0"/>
        <v>0</v>
      </c>
    </row>
    <row r="24" spans="2:9">
      <c r="B24" s="247" t="s">
        <v>646</v>
      </c>
      <c r="C24" s="247"/>
      <c r="D24" s="247">
        <f>SUM(D12:D23)</f>
        <v>0</v>
      </c>
      <c r="E24" s="247"/>
      <c r="F24" s="247"/>
      <c r="G24" s="247">
        <f>SUM(G12:G23)</f>
        <v>0</v>
      </c>
      <c r="H24" s="247">
        <f>SUM(H12:H23)</f>
        <v>0</v>
      </c>
      <c r="I24" s="247">
        <f>SUM(I12:I23)</f>
        <v>0</v>
      </c>
    </row>
    <row r="25" spans="2:9">
      <c r="B25" s="1654"/>
      <c r="C25" s="1654"/>
      <c r="D25" s="1654"/>
      <c r="E25" s="1654"/>
      <c r="F25" s="1654"/>
      <c r="G25" s="1654"/>
      <c r="H25" s="1654"/>
    </row>
  </sheetData>
  <mergeCells count="8">
    <mergeCell ref="B25:H25"/>
    <mergeCell ref="B6:I6"/>
    <mergeCell ref="B9:B11"/>
    <mergeCell ref="C9:C10"/>
    <mergeCell ref="D9:D10"/>
    <mergeCell ref="E9:E10"/>
    <mergeCell ref="F9:F10"/>
    <mergeCell ref="G9:I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B4:L23"/>
  <sheetViews>
    <sheetView workbookViewId="0">
      <selection activeCell="I21" sqref="I21"/>
    </sheetView>
  </sheetViews>
  <sheetFormatPr defaultRowHeight="12.75"/>
  <cols>
    <col min="3" max="3" width="12.7109375" customWidth="1"/>
    <col min="4" max="4" width="9.5703125" customWidth="1"/>
    <col min="5" max="5" width="13" customWidth="1"/>
    <col min="6" max="6" width="11.5703125" customWidth="1"/>
    <col min="7" max="9" width="12.140625" customWidth="1"/>
  </cols>
  <sheetData>
    <row r="4" spans="2:12" ht="27.75" customHeight="1">
      <c r="B4" s="1702" t="s">
        <v>1485</v>
      </c>
      <c r="C4" s="1702"/>
      <c r="D4" s="1702"/>
      <c r="E4" s="1702"/>
      <c r="F4" s="1702"/>
      <c r="G4" s="1702"/>
      <c r="H4" s="1702"/>
      <c r="I4" s="1702"/>
    </row>
    <row r="6" spans="2:12">
      <c r="B6" s="1703" t="s">
        <v>1062</v>
      </c>
      <c r="C6" s="1704" t="s">
        <v>805</v>
      </c>
      <c r="D6" s="1704" t="s">
        <v>1085</v>
      </c>
      <c r="E6" s="1704" t="s">
        <v>1064</v>
      </c>
      <c r="F6" s="1704" t="s">
        <v>1065</v>
      </c>
      <c r="G6" s="1704" t="s">
        <v>890</v>
      </c>
      <c r="H6" s="1704"/>
      <c r="I6" s="1704"/>
    </row>
    <row r="7" spans="2:12" ht="38.25">
      <c r="B7" s="1703"/>
      <c r="C7" s="1704"/>
      <c r="D7" s="1704"/>
      <c r="E7" s="1704"/>
      <c r="F7" s="1704"/>
      <c r="G7" s="1144" t="s">
        <v>1067</v>
      </c>
      <c r="H7" s="1144" t="s">
        <v>1068</v>
      </c>
      <c r="I7" s="1144" t="s">
        <v>1069</v>
      </c>
    </row>
    <row r="8" spans="2:12" ht="27" customHeight="1">
      <c r="B8" s="1703"/>
      <c r="C8" s="1143" t="s">
        <v>806</v>
      </c>
      <c r="D8" s="1143" t="s">
        <v>810</v>
      </c>
      <c r="E8" s="1143" t="s">
        <v>1070</v>
      </c>
      <c r="F8" s="1143" t="s">
        <v>1071</v>
      </c>
      <c r="G8" s="1143" t="s">
        <v>271</v>
      </c>
      <c r="H8" s="1143" t="s">
        <v>271</v>
      </c>
      <c r="I8" s="1143" t="s">
        <v>271</v>
      </c>
    </row>
    <row r="9" spans="2:12">
      <c r="B9" s="702" t="s">
        <v>1072</v>
      </c>
      <c r="C9" s="872">
        <v>4.1120000000000001</v>
      </c>
      <c r="D9" s="1109">
        <v>2295.0430000000001</v>
      </c>
      <c r="E9" s="1109">
        <v>617325.11</v>
      </c>
      <c r="F9" s="1109">
        <v>564.71</v>
      </c>
      <c r="G9" s="1109">
        <f>C9*E9</f>
        <v>2538440.8523200001</v>
      </c>
      <c r="H9" s="1109">
        <f>D9*F9</f>
        <v>1296033.7325300002</v>
      </c>
      <c r="I9" s="1109">
        <f>G9+H9</f>
        <v>3834474.5848500002</v>
      </c>
    </row>
    <row r="10" spans="2:12">
      <c r="B10" s="702" t="s">
        <v>1073</v>
      </c>
      <c r="C10" s="872">
        <v>4.1120000000000001</v>
      </c>
      <c r="D10" s="1109">
        <v>2109.5770000000002</v>
      </c>
      <c r="E10" s="1414">
        <v>617325.11</v>
      </c>
      <c r="F10" s="1414">
        <v>564.71</v>
      </c>
      <c r="G10" s="1109">
        <f t="shared" ref="G10:H20" si="0">C10*E10</f>
        <v>2538440.8523200001</v>
      </c>
      <c r="H10" s="1109">
        <f t="shared" si="0"/>
        <v>1191299.2276700002</v>
      </c>
      <c r="I10" s="1109">
        <f t="shared" ref="I10:I20" si="1">G10+H10</f>
        <v>3729740.0799900005</v>
      </c>
      <c r="L10" s="1081"/>
    </row>
    <row r="11" spans="2:12">
      <c r="B11" s="702" t="s">
        <v>1074</v>
      </c>
      <c r="C11" s="872">
        <v>4.1120000000000001</v>
      </c>
      <c r="D11" s="1109">
        <v>1925.347</v>
      </c>
      <c r="E11" s="1414">
        <v>617325.11</v>
      </c>
      <c r="F11" s="1414">
        <v>564.71</v>
      </c>
      <c r="G11" s="1109">
        <f t="shared" si="0"/>
        <v>2538440.8523200001</v>
      </c>
      <c r="H11" s="1109">
        <f t="shared" si="0"/>
        <v>1087262.7043700002</v>
      </c>
      <c r="I11" s="1109">
        <f t="shared" si="1"/>
        <v>3625703.55669</v>
      </c>
      <c r="L11" s="1081"/>
    </row>
    <row r="12" spans="2:12">
      <c r="B12" s="702" t="s">
        <v>1075</v>
      </c>
      <c r="C12" s="872">
        <v>4.1120000000000001</v>
      </c>
      <c r="D12" s="1109">
        <v>1889.3820000000001</v>
      </c>
      <c r="E12" s="1414">
        <v>617325.11</v>
      </c>
      <c r="F12" s="1414">
        <v>564.71</v>
      </c>
      <c r="G12" s="1109">
        <f t="shared" si="0"/>
        <v>2538440.8523200001</v>
      </c>
      <c r="H12" s="1109">
        <f t="shared" si="0"/>
        <v>1066952.90922</v>
      </c>
      <c r="I12" s="1109">
        <f t="shared" si="1"/>
        <v>3605393.7615400003</v>
      </c>
      <c r="L12" s="1081"/>
    </row>
    <row r="13" spans="2:12">
      <c r="B13" s="702" t="s">
        <v>1076</v>
      </c>
      <c r="C13" s="872">
        <v>4.1120000000000001</v>
      </c>
      <c r="D13" s="1109">
        <v>1724.5989999999999</v>
      </c>
      <c r="E13" s="1414">
        <v>617325.11</v>
      </c>
      <c r="F13" s="1414">
        <v>564.71</v>
      </c>
      <c r="G13" s="1109">
        <f t="shared" si="0"/>
        <v>2538440.8523200001</v>
      </c>
      <c r="H13" s="1109">
        <f t="shared" si="0"/>
        <v>973898.30128999997</v>
      </c>
      <c r="I13" s="1109">
        <f t="shared" si="1"/>
        <v>3512339.1536099999</v>
      </c>
      <c r="L13" s="1081"/>
    </row>
    <row r="14" spans="2:12">
      <c r="B14" s="702" t="s">
        <v>1077</v>
      </c>
      <c r="C14" s="872">
        <v>4.1120000000000001</v>
      </c>
      <c r="D14" s="1109">
        <v>1690.873</v>
      </c>
      <c r="E14" s="1414">
        <v>617325.11</v>
      </c>
      <c r="F14" s="1414">
        <v>564.71</v>
      </c>
      <c r="G14" s="1109">
        <f t="shared" si="0"/>
        <v>2538440.8523200001</v>
      </c>
      <c r="H14" s="1109">
        <f t="shared" si="0"/>
        <v>954852.8918300001</v>
      </c>
      <c r="I14" s="1109">
        <f t="shared" si="1"/>
        <v>3493293.7441500002</v>
      </c>
      <c r="L14" s="1081"/>
    </row>
    <row r="15" spans="2:12">
      <c r="B15" s="702" t="s">
        <v>1078</v>
      </c>
      <c r="C15" s="872">
        <v>4.1120000000000001</v>
      </c>
      <c r="D15" s="1109">
        <v>1681.758</v>
      </c>
      <c r="E15" s="1414">
        <v>617325.11</v>
      </c>
      <c r="F15" s="1109">
        <v>670.23</v>
      </c>
      <c r="G15" s="1109">
        <f t="shared" si="0"/>
        <v>2538440.8523200001</v>
      </c>
      <c r="H15" s="1109">
        <f t="shared" si="0"/>
        <v>1127164.6643400001</v>
      </c>
      <c r="I15" s="1109">
        <f t="shared" si="1"/>
        <v>3665605.5166600002</v>
      </c>
      <c r="L15" s="1081"/>
    </row>
    <row r="16" spans="2:12">
      <c r="B16" s="702" t="s">
        <v>1079</v>
      </c>
      <c r="C16" s="872">
        <v>4.1120000000000001</v>
      </c>
      <c r="D16" s="1109">
        <v>1746.7729999999999</v>
      </c>
      <c r="E16" s="1414">
        <v>617325.11</v>
      </c>
      <c r="F16" s="1414">
        <v>670.23</v>
      </c>
      <c r="G16" s="1109">
        <f t="shared" si="0"/>
        <v>2538440.8523200001</v>
      </c>
      <c r="H16" s="1109">
        <f t="shared" si="0"/>
        <v>1170739.6677899999</v>
      </c>
      <c r="I16" s="1109">
        <f t="shared" si="1"/>
        <v>3709180.5201099999</v>
      </c>
      <c r="L16" s="1081"/>
    </row>
    <row r="17" spans="2:12">
      <c r="B17" s="702" t="s">
        <v>1080</v>
      </c>
      <c r="C17" s="872">
        <v>4.1120000000000001</v>
      </c>
      <c r="D17" s="1109">
        <v>1802.146</v>
      </c>
      <c r="E17" s="1414">
        <v>617325.11</v>
      </c>
      <c r="F17" s="1414">
        <v>670.23</v>
      </c>
      <c r="G17" s="1109">
        <f t="shared" si="0"/>
        <v>2538440.8523200001</v>
      </c>
      <c r="H17" s="1109">
        <f t="shared" si="0"/>
        <v>1207852.3135800001</v>
      </c>
      <c r="I17" s="1109">
        <f t="shared" si="1"/>
        <v>3746293.1659000004</v>
      </c>
      <c r="L17" s="1081"/>
    </row>
    <row r="18" spans="2:12">
      <c r="B18" s="702" t="s">
        <v>1081</v>
      </c>
      <c r="C18" s="872">
        <v>4.1120000000000001</v>
      </c>
      <c r="D18" s="1109">
        <v>1952.412</v>
      </c>
      <c r="E18" s="1414">
        <v>617325.11</v>
      </c>
      <c r="F18" s="1414">
        <v>670.23</v>
      </c>
      <c r="G18" s="1109">
        <f t="shared" si="0"/>
        <v>2538440.8523200001</v>
      </c>
      <c r="H18" s="1109">
        <f t="shared" si="0"/>
        <v>1308565.09476</v>
      </c>
      <c r="I18" s="1109">
        <f t="shared" si="1"/>
        <v>3847005.9470800003</v>
      </c>
      <c r="L18" s="1081"/>
    </row>
    <row r="19" spans="2:12">
      <c r="B19" s="702" t="s">
        <v>1082</v>
      </c>
      <c r="C19" s="872">
        <v>4.1120000000000001</v>
      </c>
      <c r="D19" s="1109">
        <v>1972.4780000000001</v>
      </c>
      <c r="E19" s="1414">
        <v>617325.11</v>
      </c>
      <c r="F19" s="1414">
        <v>670.23</v>
      </c>
      <c r="G19" s="1109">
        <f t="shared" si="0"/>
        <v>2538440.8523200001</v>
      </c>
      <c r="H19" s="1109">
        <f t="shared" si="0"/>
        <v>1322013.9299400002</v>
      </c>
      <c r="I19" s="1109">
        <f t="shared" si="1"/>
        <v>3860454.7822600002</v>
      </c>
      <c r="L19" s="1081"/>
    </row>
    <row r="20" spans="2:12">
      <c r="B20" s="702" t="s">
        <v>1083</v>
      </c>
      <c r="C20" s="872">
        <v>4.1120000000000001</v>
      </c>
      <c r="D20" s="1109">
        <v>1863.2950000000001</v>
      </c>
      <c r="E20" s="1414">
        <v>617325.11</v>
      </c>
      <c r="F20" s="1414">
        <v>670.23</v>
      </c>
      <c r="G20" s="1109">
        <f t="shared" si="0"/>
        <v>2538440.8523200001</v>
      </c>
      <c r="H20" s="1109">
        <f t="shared" si="0"/>
        <v>1248836.2078500001</v>
      </c>
      <c r="I20" s="1109">
        <f t="shared" si="1"/>
        <v>3787277.0601700004</v>
      </c>
      <c r="L20" s="1081"/>
    </row>
    <row r="21" spans="2:12">
      <c r="B21" s="702" t="s">
        <v>646</v>
      </c>
      <c r="C21" s="1145"/>
      <c r="D21" s="1145">
        <f>SUM(D9:D20)</f>
        <v>22653.682999999997</v>
      </c>
      <c r="E21" s="702"/>
      <c r="F21" s="702"/>
      <c r="G21" s="702">
        <f>SUM(G9:G20)</f>
        <v>30461290.227840003</v>
      </c>
      <c r="H21" s="702">
        <f>SUM(H9:H20)</f>
        <v>13955471.645170001</v>
      </c>
      <c r="I21" s="702">
        <f>SUM(I9:I20)</f>
        <v>44416761.873010002</v>
      </c>
      <c r="L21" s="1081"/>
    </row>
    <row r="22" spans="2:12">
      <c r="B22" s="1654"/>
      <c r="C22" s="1654"/>
    </row>
    <row r="23" spans="2:12">
      <c r="B23" s="225"/>
      <c r="C23" s="225"/>
      <c r="D23" s="225"/>
      <c r="E23" s="225"/>
      <c r="F23" s="225"/>
      <c r="G23" s="225"/>
      <c r="H23" s="225"/>
      <c r="I23" s="225"/>
    </row>
  </sheetData>
  <mergeCells count="8">
    <mergeCell ref="B22:C22"/>
    <mergeCell ref="B4:I4"/>
    <mergeCell ref="B6:B8"/>
    <mergeCell ref="C6:C7"/>
    <mergeCell ref="D6:D7"/>
    <mergeCell ref="E6:E7"/>
    <mergeCell ref="F6:F7"/>
    <mergeCell ref="G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21</vt:i4>
      </vt:variant>
    </vt:vector>
  </HeadingPairs>
  <TitlesOfParts>
    <vt:vector size="59" baseType="lpstr">
      <vt:lpstr>Перечень необх.документов</vt:lpstr>
      <vt:lpstr>Заявление</vt:lpstr>
      <vt:lpstr>Реквизиты организации</vt:lpstr>
      <vt:lpstr>2.1</vt:lpstr>
      <vt:lpstr>2.2</vt:lpstr>
      <vt:lpstr>1.4</vt:lpstr>
      <vt:lpstr>1.5</vt:lpstr>
      <vt:lpstr>Свод долгосрочный </vt:lpstr>
      <vt:lpstr>Сырье и материалы</vt:lpstr>
      <vt:lpstr>Раб. и усл. произ. хар-ра</vt:lpstr>
      <vt:lpstr>Затраты на ремонт</vt:lpstr>
      <vt:lpstr>Оплата труда</vt:lpstr>
      <vt:lpstr>Числ. и разряд</vt:lpstr>
      <vt:lpstr>Другие прочие и подконтрольные </vt:lpstr>
      <vt:lpstr>Оплата услуг ФСК</vt:lpstr>
      <vt:lpstr>Содержание зданий</vt:lpstr>
      <vt:lpstr>Аренда имущества</vt:lpstr>
      <vt:lpstr>Лизинг</vt:lpstr>
      <vt:lpstr>Плата за землю</vt:lpstr>
      <vt:lpstr>Налог на имущество</vt:lpstr>
      <vt:lpstr>Транс. налог</vt:lpstr>
      <vt:lpstr>негативное воздействие </vt:lpstr>
      <vt:lpstr>прочие налоги и сборы</vt:lpstr>
      <vt:lpstr>прочие НР</vt:lpstr>
      <vt:lpstr>Аммортизация</vt:lpstr>
      <vt:lpstr>Корр ПР</vt:lpstr>
      <vt:lpstr>Корр. НР</vt:lpstr>
      <vt:lpstr>Корр. ПО</vt:lpstr>
      <vt:lpstr>Корр. ИП</vt:lpstr>
      <vt:lpstr>Корр. КНК</vt:lpstr>
      <vt:lpstr>Выпадающие от ТП</vt:lpstr>
      <vt:lpstr>ТЭП</vt:lpstr>
      <vt:lpstr>Форма 1</vt:lpstr>
      <vt:lpstr>Форма 2</vt:lpstr>
      <vt:lpstr>Информация о согл. объемах</vt:lpstr>
      <vt:lpstr>Смета расходов и доходов</vt:lpstr>
      <vt:lpstr>Свод  по актам ФСК</vt:lpstr>
      <vt:lpstr>Доходы</vt:lpstr>
      <vt:lpstr>'Транс. налог'!Заголовки_для_печати</vt:lpstr>
      <vt:lpstr>'1.4'!Область_печати</vt:lpstr>
      <vt:lpstr>'1.5'!Область_печати</vt:lpstr>
      <vt:lpstr>'2.1'!Область_печати</vt:lpstr>
      <vt:lpstr>'2.2'!Область_печати</vt:lpstr>
      <vt:lpstr>Аммортизация!Область_печати</vt:lpstr>
      <vt:lpstr>'Аренда имущества'!Область_печати</vt:lpstr>
      <vt:lpstr>'Другие прочие и подконтрольные '!Область_печати</vt:lpstr>
      <vt:lpstr>'Затраты на ремонт'!Область_печати</vt:lpstr>
      <vt:lpstr>Заявление!Область_печати</vt:lpstr>
      <vt:lpstr>'Налог на имущество'!Область_печати</vt:lpstr>
      <vt:lpstr>'Оплата труда'!Область_печати</vt:lpstr>
      <vt:lpstr>'Оплата услуг ФСК'!Область_печати</vt:lpstr>
      <vt:lpstr>'Плата за землю'!Область_печати</vt:lpstr>
      <vt:lpstr>'Раб. и усл. произ. хар-ра'!Область_печати</vt:lpstr>
      <vt:lpstr>'Реквизиты организации'!Область_печати</vt:lpstr>
      <vt:lpstr>'Свод долгосрочный '!Область_печати</vt:lpstr>
      <vt:lpstr>'Содержание зданий'!Область_печати</vt:lpstr>
      <vt:lpstr>'Сырье и материалы'!Область_печати</vt:lpstr>
      <vt:lpstr>'Транс. налог'!Область_печати</vt:lpstr>
      <vt:lpstr>'Числ. и разряд'!Область_печати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ценообразования</dc:creator>
  <cp:lastModifiedBy>Irina</cp:lastModifiedBy>
  <cp:lastPrinted>2020-01-20T07:08:14Z</cp:lastPrinted>
  <dcterms:created xsi:type="dcterms:W3CDTF">2003-09-01T06:35:10Z</dcterms:created>
  <dcterms:modified xsi:type="dcterms:W3CDTF">2021-06-18T13:26:09Z</dcterms:modified>
</cp:coreProperties>
</file>