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7.xml" ContentType="application/vnd.openxmlformats-officedocument.spreadsheetml.externalLink+xml"/>
  <Default Extension="wmf" ContentType="image/x-wmf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8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6.xml" ContentType="application/vnd.openxmlformats-officedocument.spreadsheetml.externalLink+xml"/>
  <Default Extension="jpe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3600" yWindow="150" windowWidth="12585" windowHeight="6285" tabRatio="919"/>
  </bookViews>
  <sheets>
    <sheet name="Перечень необх.документов" sheetId="41" r:id="rId1"/>
    <sheet name="Заявление" sheetId="74" r:id="rId2"/>
    <sheet name="Реквизиты организации" sheetId="42" r:id="rId3"/>
    <sheet name="2.1" sheetId="18" r:id="rId4"/>
    <sheet name="2.2" sheetId="19" r:id="rId5"/>
    <sheet name="1.4" sheetId="27" r:id="rId6"/>
    <sheet name="1.5" sheetId="32" r:id="rId7"/>
    <sheet name="Свод долгосрочный " sheetId="43" r:id="rId8"/>
    <sheet name="Информация о согл. объемах" sheetId="80" r:id="rId9"/>
    <sheet name="Сырье и материалы" sheetId="64" r:id="rId10"/>
    <sheet name="Раб. и усл. произ. хар-ра" sheetId="75" r:id="rId11"/>
    <sheet name="Затраты на ремонт" sheetId="4" r:id="rId12"/>
    <sheet name="Ком предл." sheetId="86" r:id="rId13"/>
    <sheet name="Оплата труда" sheetId="10" r:id="rId14"/>
    <sheet name="Числ. и разряд" sheetId="66" r:id="rId15"/>
    <sheet name="Другие прочие и подконтрольные " sheetId="65" r:id="rId16"/>
    <sheet name="Оплата услуг ФСК" sheetId="50" r:id="rId17"/>
    <sheet name="ГСМ" sheetId="85" r:id="rId18"/>
    <sheet name="Содержание зданий" sheetId="45" r:id="rId19"/>
    <sheet name="Лизинг" sheetId="84" state="hidden" r:id="rId20"/>
    <sheet name="Плата за землю" sheetId="46" r:id="rId21"/>
    <sheet name="Налог на имущество" sheetId="48" r:id="rId22"/>
    <sheet name="Транс. налог" sheetId="47" r:id="rId23"/>
    <sheet name="негативное воздействие " sheetId="49" r:id="rId24"/>
    <sheet name="прочие налоги и сборы" sheetId="68" r:id="rId25"/>
    <sheet name="прочие НР" sheetId="51" r:id="rId26"/>
    <sheet name="Аммортизация" sheetId="21" r:id="rId27"/>
    <sheet name="Корр ПР" sheetId="69" r:id="rId28"/>
    <sheet name="Корр. НР" sheetId="60" r:id="rId29"/>
    <sheet name="Корр. ПО" sheetId="61" r:id="rId30"/>
    <sheet name="Корр. ИП" sheetId="62" r:id="rId31"/>
    <sheet name="Корр. КНК" sheetId="55" r:id="rId32"/>
    <sheet name="Выпадающие от ТП" sheetId="79" r:id="rId33"/>
    <sheet name="ТЭП" sheetId="63" r:id="rId34"/>
    <sheet name="Форма 1" sheetId="72" r:id="rId35"/>
    <sheet name="Форма 2" sheetId="73" r:id="rId36"/>
    <sheet name="Смета расходов и доходов" sheetId="81" state="hidden" r:id="rId37"/>
    <sheet name="Сводная 2020" sheetId="87" r:id="rId38"/>
    <sheet name="Свод  по актам ФСК" sheetId="82" r:id="rId39"/>
    <sheet name="Доходы" sheetId="83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\a" localSheetId="12">#REF!</definedName>
    <definedName name="\m" localSheetId="12">#REF!</definedName>
    <definedName name="\n" localSheetId="12">#REF!</definedName>
    <definedName name="\o" localSheetId="12">#REF!</definedName>
    <definedName name="_M8">#N/A</definedName>
    <definedName name="_M9">#N/A</definedName>
    <definedName name="_Num2" localSheetId="12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17" hidden="1">#REF!</definedName>
    <definedName name="_Sort" localSheetId="12" hidden="1">#REF!</definedName>
    <definedName name="_xlnm._FilterDatabase" localSheetId="22" hidden="1">'Транс. налог'!$A$6:$Q$32</definedName>
    <definedName name="÷ĺňâĺđňűé" localSheetId="12">#REF!</definedName>
    <definedName name="AES" localSheetId="12">#REF!</definedName>
    <definedName name="àî">#N/A</definedName>
    <definedName name="ALL_ORG" localSheetId="12">#REF!</definedName>
    <definedName name="âňîđîé" localSheetId="12">#REF!</definedName>
    <definedName name="anscount" hidden="1">1</definedName>
    <definedName name="AOE" localSheetId="12">#REF!</definedName>
    <definedName name="APR" localSheetId="12">#REF!</definedName>
    <definedName name="AUG" localSheetId="12">#REF!</definedName>
    <definedName name="BALEE_FLOAD" localSheetId="12">#REF!</definedName>
    <definedName name="BALEE_PROT" localSheetId="12">#REF!,#REF!,#REF!,#REF!</definedName>
    <definedName name="BALM_FLOAD" localSheetId="12">#REF!</definedName>
    <definedName name="BALM_PROT" localSheetId="12">#REF!,#REF!,#REF!,#REF!</definedName>
    <definedName name="cd">#N/A</definedName>
    <definedName name="CheckBC_List21_1_1" localSheetId="12">#REF!</definedName>
    <definedName name="CheckBC_List21_1_2" localSheetId="12">#REF!</definedName>
    <definedName name="CheckBC_List21_1_3" localSheetId="12">#REF!</definedName>
    <definedName name="CheckBC_List21_1_4" localSheetId="12">#REF!</definedName>
    <definedName name="CheckBC_List21_1_5" localSheetId="12">#REF!</definedName>
    <definedName name="com">#N/A</definedName>
    <definedName name="CompOt" localSheetId="6">'1.5'!CompOt</definedName>
    <definedName name="CompOt" localSheetId="17">ГСМ!CompOt</definedName>
    <definedName name="CompOt" localSheetId="12">#N/A</definedName>
    <definedName name="CompOt2">#N/A</definedName>
    <definedName name="CompRas" localSheetId="6">'1.5'!CompRas</definedName>
    <definedName name="CompRas" localSheetId="17">ГСМ!CompRas</definedName>
    <definedName name="CompRas" localSheetId="12">#N/A</definedName>
    <definedName name="Contents" localSheetId="12">#REF!</definedName>
    <definedName name="COPY_DIAP" localSheetId="12">#REF!</definedName>
    <definedName name="ct">#N/A</definedName>
    <definedName name="ď">#N/A</definedName>
    <definedName name="DaNet">[1]TEHSHEET!$K$5:$K$6</definedName>
    <definedName name="DATA" localSheetId="12">#REF!</definedName>
    <definedName name="DATE" localSheetId="12">#REF!</definedName>
    <definedName name="ďď">#N/A</definedName>
    <definedName name="đđ">#N/A</definedName>
    <definedName name="đđđ">#N/A</definedName>
    <definedName name="DEC" localSheetId="12">#REF!</definedName>
    <definedName name="ďĺđâűé" localSheetId="12">#REF!</definedName>
    <definedName name="DOC" localSheetId="12">#REF!</definedName>
    <definedName name="Down_range" localSheetId="12">#REF!</definedName>
    <definedName name="dsragh">#N/A</definedName>
    <definedName name="ęĺ">#N/A</definedName>
    <definedName name="ESO_ET" localSheetId="12">#REF!</definedName>
    <definedName name="ESO_PROT">#N/A</definedName>
    <definedName name="ESOcom" localSheetId="12">#REF!</definedName>
    <definedName name="ew">#N/A</definedName>
    <definedName name="F_ST_ET" localSheetId="12">#REF!</definedName>
    <definedName name="F10_FST_OPT" localSheetId="12">#REF!</definedName>
    <definedName name="F10_FST_OPT_1" localSheetId="12">#REF!</definedName>
    <definedName name="F10_FST_OPT_2" localSheetId="12">#REF!</definedName>
    <definedName name="F10_FST_OPT_3" localSheetId="12">#REF!</definedName>
    <definedName name="F10_FST_ROZN" localSheetId="12">#REF!</definedName>
    <definedName name="F10_FST_ROZN_1" localSheetId="12">#REF!</definedName>
    <definedName name="F10_FST_ROZN_2" localSheetId="12">#REF!</definedName>
    <definedName name="F10_MAX_OPT" localSheetId="12">#REF!</definedName>
    <definedName name="F10_MAX_OPT_1" localSheetId="12">#REF!</definedName>
    <definedName name="F10_MAX_OPT_2" localSheetId="12">#REF!</definedName>
    <definedName name="F10_MAX_OPT_3" localSheetId="12">#REF!</definedName>
    <definedName name="F10_MAX_ROZN" localSheetId="12">#REF!</definedName>
    <definedName name="F10_MAX_ROZN_1" localSheetId="12">#REF!</definedName>
    <definedName name="F10_MAX_ROZN_2" localSheetId="12">#REF!</definedName>
    <definedName name="F10_MIN_OPT" localSheetId="12">#REF!</definedName>
    <definedName name="F10_MIN_OPT_1" localSheetId="12">#REF!</definedName>
    <definedName name="F10_MIN_OPT_2" localSheetId="12">#REF!</definedName>
    <definedName name="F10_MIN_OPT_3" localSheetId="12">#REF!</definedName>
    <definedName name="F10_MIN_ROZN" localSheetId="12">#REF!</definedName>
    <definedName name="F10_MIN_ROZN_1" localSheetId="12">#REF!</definedName>
    <definedName name="F10_MIN_ROZN_2" localSheetId="12">#REF!</definedName>
    <definedName name="F10_SCOPE" localSheetId="12">#REF!</definedName>
    <definedName name="F9_OPT" localSheetId="12">#REF!</definedName>
    <definedName name="F9_OPT_1" localSheetId="12">#REF!</definedName>
    <definedName name="F9_OPT_2" localSheetId="12">#REF!</definedName>
    <definedName name="F9_OPT_3" localSheetId="12">#REF!</definedName>
    <definedName name="F9_ROZN" localSheetId="12">#REF!</definedName>
    <definedName name="F9_ROZN_1" localSheetId="12">#REF!</definedName>
    <definedName name="F9_ROZN_2" localSheetId="12">#REF!</definedName>
    <definedName name="F9_SCOPE" localSheetId="12">#REF!</definedName>
    <definedName name="FEB" localSheetId="12">#REF!</definedName>
    <definedName name="fff" localSheetId="12">#REF!</definedName>
    <definedName name="fg">#N/A</definedName>
    <definedName name="FUEL" localSheetId="12">#REF!</definedName>
    <definedName name="FUEL_ET" localSheetId="12">#REF!</definedName>
    <definedName name="FUELLIST" localSheetId="12">#REF!</definedName>
    <definedName name="GES" localSheetId="12">#REF!</definedName>
    <definedName name="GES_DATA" localSheetId="12">#REF!</definedName>
    <definedName name="GES_LIST" localSheetId="12">#REF!</definedName>
    <definedName name="GES3_DATA" localSheetId="12">#REF!</definedName>
    <definedName name="gfg">#N/A</definedName>
    <definedName name="gh">#N/A</definedName>
    <definedName name="GRES" localSheetId="12">#REF!</definedName>
    <definedName name="GRES_DATA" localSheetId="12">#REF!</definedName>
    <definedName name="GRES_LIST" localSheetId="12">#REF!</definedName>
    <definedName name="gtty">#N/A</definedName>
    <definedName name="h">#N/A</definedName>
    <definedName name="H?Address" localSheetId="12">#REF!</definedName>
    <definedName name="H?Description" localSheetId="12">#REF!</definedName>
    <definedName name="H?EntityName" localSheetId="12">#REF!</definedName>
    <definedName name="H?Name" localSheetId="12">#REF!</definedName>
    <definedName name="H?OKATO" localSheetId="12">#REF!</definedName>
    <definedName name="H?OKFS" localSheetId="12">#REF!</definedName>
    <definedName name="H?OKOGU" localSheetId="12">#REF!</definedName>
    <definedName name="H?OKONX" localSheetId="12">#REF!</definedName>
    <definedName name="H?OKOPF" localSheetId="12">#REF!</definedName>
    <definedName name="H?OKPO" localSheetId="12">#REF!</definedName>
    <definedName name="H?OKVD" localSheetId="12">#REF!</definedName>
    <definedName name="H?Table" localSheetId="12">#REF!</definedName>
    <definedName name="H?Title" localSheetId="12">#REF!</definedName>
    <definedName name="hhh">#N/A</definedName>
    <definedName name="hhy">#N/A</definedName>
    <definedName name="îî">#N/A</definedName>
    <definedName name="INN" localSheetId="12">#REF!</definedName>
    <definedName name="j">#N/A</definedName>
    <definedName name="JAN" localSheetId="12">#REF!</definedName>
    <definedName name="JUL" localSheetId="12">#REF!</definedName>
    <definedName name="JUN" localSheetId="12">#REF!</definedName>
    <definedName name="k">#N/A</definedName>
    <definedName name="KOTLODERJ_LIST">[2]Справочники!$E$8:$E$9</definedName>
    <definedName name="logical">[3]TEHSHEET!$K$2:$K$3</definedName>
    <definedName name="MAR" localSheetId="12">#REF!</definedName>
    <definedName name="MAY" localSheetId="12">#REF!</definedName>
    <definedName name="MO" localSheetId="12">#REF!</definedName>
    <definedName name="MONTH" localSheetId="17">[1]TEHSHEET!$F$4:$F$16</definedName>
    <definedName name="MONTH" localSheetId="12">#REF!</definedName>
    <definedName name="ňđĺňčé" localSheetId="12">#REF!</definedName>
    <definedName name="nfyz">#N/A</definedName>
    <definedName name="NOM" localSheetId="12">#REF!</definedName>
    <definedName name="NOV" localSheetId="12">#REF!</definedName>
    <definedName name="NSRF" localSheetId="12">#REF!</definedName>
    <definedName name="Num" localSheetId="12">#REF!</definedName>
    <definedName name="o">#N/A</definedName>
    <definedName name="OCT" localSheetId="12">#REF!</definedName>
    <definedName name="OKTMO" localSheetId="12">#REF!</definedName>
    <definedName name="öó">#N/A</definedName>
    <definedName name="ORE" localSheetId="12">#REF!</definedName>
    <definedName name="org">[4]Титульный!$G$16</definedName>
    <definedName name="org_3_186" localSheetId="12">#REF!</definedName>
    <definedName name="org_4_186" localSheetId="12">#REF!</definedName>
    <definedName name="Org_list" localSheetId="12">#REF!</definedName>
    <definedName name="OTH_DATA" localSheetId="12">#REF!</definedName>
    <definedName name="OTH_LIST" localSheetId="12">#REF!</definedName>
    <definedName name="P1_ESO_PROT" localSheetId="12" hidden="1">#REF!,#REF!,#REF!,#REF!,#REF!,#REF!,#REF!,#REF!</definedName>
    <definedName name="P1_SBT_PROT" localSheetId="12" hidden="1">#REF!,#REF!,#REF!,#REF!,#REF!,#REF!,#REF!</definedName>
    <definedName name="P1_SBT_PROT" hidden="1">#REF!,#REF!,#REF!,#REF!,#REF!,#REF!,#REF!</definedName>
    <definedName name="P1_SC22" localSheetId="12" hidden="1">#REF!,#REF!,#REF!,#REF!,#REF!,#REF!</definedName>
    <definedName name="P1_SCOPE_CORR" localSheetId="12" hidden="1">#REF!,#REF!,#REF!,#REF!,#REF!,#REF!,#REF!</definedName>
    <definedName name="P1_SCOPE_CORR" hidden="1">#REF!,#REF!,#REF!,#REF!,#REF!,#REF!,#REF!</definedName>
    <definedName name="P1_SCOPE_FLOAD" localSheetId="12" hidden="1">#REF!,#REF!,#REF!,#REF!,#REF!,#REF!</definedName>
    <definedName name="P1_SCOPE_FLOAD" hidden="1">#REF!,#REF!,#REF!,#REF!,#REF!,#REF!</definedName>
    <definedName name="P1_SCOPE_FRML" localSheetId="12" hidden="1">#REF!,#REF!,#REF!,#REF!,#REF!,#REF!</definedName>
    <definedName name="P1_SCOPE_FRML" hidden="1">#REF!,#REF!,#REF!,#REF!,#REF!,#REF!</definedName>
    <definedName name="P1_SCOPE_FST7" localSheetId="12" hidden="1">#REF!,#REF!,#REF!,#REF!,#REF!,#REF!</definedName>
    <definedName name="P1_SCOPE_FST7" hidden="1">#REF!,#REF!,#REF!,#REF!,#REF!,#REF!</definedName>
    <definedName name="P1_SCOPE_FULL_LOAD" localSheetId="12" hidden="1">#REF!,#REF!,#REF!,#REF!,#REF!,#REF!</definedName>
    <definedName name="P1_SCOPE_FULL_LOAD" hidden="1">#REF!,#REF!,#REF!,#REF!,#REF!,#REF!</definedName>
    <definedName name="P1_SCOPE_IND" localSheetId="12" hidden="1">#REF!,#REF!,#REF!,#REF!,#REF!,#REF!</definedName>
    <definedName name="P1_SCOPE_IND" hidden="1">#REF!,#REF!,#REF!,#REF!,#REF!,#REF!</definedName>
    <definedName name="P1_SCOPE_IND2" localSheetId="12" hidden="1">#REF!,#REF!,#REF!,#REF!,#REF!</definedName>
    <definedName name="P1_SCOPE_IND2" hidden="1">#REF!,#REF!,#REF!,#REF!,#REF!</definedName>
    <definedName name="P1_SCOPE_NOTIND" localSheetId="12" hidden="1">#REF!,#REF!,#REF!,#REF!,#REF!,#REF!</definedName>
    <definedName name="P1_SCOPE_NOTIND" hidden="1">#REF!,#REF!,#REF!,#REF!,#REF!,#REF!</definedName>
    <definedName name="P1_SCOPE_NotInd2" localSheetId="12" hidden="1">#REF!,#REF!,#REF!,#REF!,#REF!,#REF!,#REF!</definedName>
    <definedName name="P1_SCOPE_NotInd2" hidden="1">#REF!,#REF!,#REF!,#REF!,#REF!,#REF!,#REF!</definedName>
    <definedName name="P1_SCOPE_NotInd3" localSheetId="12" hidden="1">#REF!,#REF!,#REF!,#REF!,#REF!,#REF!,#REF!</definedName>
    <definedName name="P1_SCOPE_NotInd3" hidden="1">#REF!,#REF!,#REF!,#REF!,#REF!,#REF!,#REF!</definedName>
    <definedName name="P1_SCOPE_NotInt" localSheetId="12" hidden="1">#REF!,#REF!,#REF!,#REF!,#REF!,#REF!</definedName>
    <definedName name="P1_SCOPE_PROT1" localSheetId="17" hidden="1">'[5]Баланс энергии'!#REF!,'[5]Баланс энергии'!#REF!,'[5]Баланс энергии'!#REF!,'[5]Баланс энергии'!#REF!,'[5]Баланс энергии'!#REF!</definedName>
    <definedName name="P1_SCOPE_PROT1" localSheetId="12" hidden="1">'[6]Баланс энергии'!#REF!,'[6]Баланс энергии'!#REF!,'[6]Баланс энергии'!#REF!,'[6]Баланс энергии'!#REF!,'[6]Баланс энергии'!#REF!</definedName>
    <definedName name="P1_SCOPE_PROT1" hidden="1">'[6]Баланс энергии'!#REF!,'[6]Баланс энергии'!#REF!,'[6]Баланс энергии'!#REF!,'[6]Баланс энергии'!#REF!,'[6]Баланс энергии'!#REF!</definedName>
    <definedName name="P1_SCOPE_PROT13" localSheetId="17" hidden="1">#REF!,#REF!,#REF!,#REF!,#REF!,#REF!,#REF!,#REF!</definedName>
    <definedName name="P1_SCOPE_PROT13" localSheetId="12" hidden="1">#REF!,#REF!,#REF!,#REF!,#REF!,#REF!,#REF!,#REF!</definedName>
    <definedName name="P1_SCOPE_PROT13" hidden="1">#REF!,#REF!,#REF!,#REF!,#REF!,#REF!,#REF!,#REF!</definedName>
    <definedName name="P1_SCOPE_PROT14" localSheetId="17" hidden="1">#REF!,#REF!,#REF!,#REF!,#REF!,#REF!,#REF!,#REF!</definedName>
    <definedName name="P1_SCOPE_PROT14" localSheetId="12" hidden="1">#REF!,#REF!,#REF!,#REF!,#REF!,#REF!,#REF!,#REF!</definedName>
    <definedName name="P1_SCOPE_PROT14" hidden="1">#REF!,#REF!,#REF!,#REF!,#REF!,#REF!,#REF!,#REF!</definedName>
    <definedName name="P1_SCOPE_PROT16" localSheetId="17" hidden="1">'[5]Транспортный налог'!$A$9:$C$16,'[5]Транспортный налог'!#REF!,'[5]Транспортный налог'!$E$9:$E$16,'[5]Транспортный налог'!#REF!,'[5]Транспортный налог'!#REF!,'[5]Транспортный налог'!#REF!</definedName>
    <definedName name="P1_SCOPE_PROT16" localSheetId="12" hidden="1">'[6]Транспортный налог'!$A$9:$C$16,'[6]Транспортный налог'!#REF!,'[6]Транспортный налог'!$E$9:$E$16,'[6]Транспортный налог'!#REF!,'[6]Транспортный налог'!#REF!,'[6]Транспортный налог'!#REF!</definedName>
    <definedName name="P1_SCOPE_PROT16" hidden="1">'[6]Транспортный налог'!$A$9:$C$16,'[6]Транспортный налог'!#REF!,'[6]Транспортный налог'!$E$9:$E$16,'[6]Транспортный налог'!#REF!,'[6]Транспортный налог'!#REF!,'[6]Транспортный налог'!#REF!</definedName>
    <definedName name="P1_SCOPE_PROT2" localSheetId="17" hidden="1">'[5]Баланс мощности'!#REF!,'[5]Баланс мощности'!#REF!,'[5]Баланс мощности'!#REF!,'[5]Баланс мощности'!#REF!,'[5]Баланс мощности'!#REF!</definedName>
    <definedName name="P1_SCOPE_PROT2" localSheetId="12" hidden="1">'[6]Баланс мощности'!#REF!,'[6]Баланс мощности'!#REF!,'[6]Баланс мощности'!#REF!,'[6]Баланс мощности'!#REF!,'[6]Баланс мощности'!#REF!</definedName>
    <definedName name="P1_SCOPE_PROT2" hidden="1">'[6]Баланс мощности'!#REF!,'[6]Баланс мощности'!#REF!,'[6]Баланс мощности'!#REF!,'[6]Баланс мощности'!#REF!,'[6]Баланс мощности'!#REF!</definedName>
    <definedName name="P1_SCOPE_PROT22" localSheetId="17" hidden="1">#REF!,#REF!,#REF!,#REF!,#REF!,#REF!,#REF!</definedName>
    <definedName name="P1_SCOPE_PROT22" localSheetId="12" hidden="1">#REF!,#REF!,#REF!,#REF!,#REF!,#REF!,#REF!</definedName>
    <definedName name="P1_SCOPE_PROT22" hidden="1">#REF!,#REF!,#REF!,#REF!,#REF!,#REF!,#REF!</definedName>
    <definedName name="P1_SCOPE_PROT27" localSheetId="17" hidden="1">'[5] КВЛ 2012-2014 '!#REF!,'[5] КВЛ 2012-2014 '!$B$51:$B$54,'[5] КВЛ 2012-2014 '!$A$46:$B$49,'[5] КВЛ 2012-2014 '!#REF!,'[5] КВЛ 2012-2014 '!$A$8:$B$12,'[5] КВЛ 2012-2014 '!$A$15:$B$19</definedName>
    <definedName name="P1_SCOPE_PROT27" localSheetId="12" hidden="1">'[6] КВЛ 2012-2014 '!#REF!,'[6] КВЛ 2012-2014 '!$B$51:$B$54,'[6] КВЛ 2012-2014 '!$A$46:$B$49,'[6] КВЛ 2012-2014 '!#REF!,'[6] КВЛ 2012-2014 '!$A$8:$B$12,'[6] КВЛ 2012-2014 '!$A$15:$B$19</definedName>
    <definedName name="P1_SCOPE_PROT27" hidden="1">'[6] КВЛ 2012-2014 '!#REF!,'[6] КВЛ 2012-2014 '!$B$51:$B$54,'[6] КВЛ 2012-2014 '!$A$46:$B$49,'[6] КВЛ 2012-2014 '!#REF!,'[6] КВЛ 2012-2014 '!$A$8:$B$12,'[6] КВЛ 2012-2014 '!$A$15:$B$19</definedName>
    <definedName name="P1_SCOPE_PROT34" localSheetId="17" hidden="1">#REF!,#REF!,#REF!,#REF!,#REF!,#REF!</definedName>
    <definedName name="P1_SCOPE_PROT34" localSheetId="12" hidden="1">#REF!,#REF!,#REF!,#REF!,#REF!,#REF!</definedName>
    <definedName name="P1_SCOPE_PROT34" hidden="1">#REF!,#REF!,#REF!,#REF!,#REF!,#REF!</definedName>
    <definedName name="P1_SCOPE_PROT5" localSheetId="17" hidden="1">'[5]Амортизация по уровням напр-я'!$I$19:$I$22,'[5]Амортизация по уровням напр-я'!$I$14:$I$17,'[5]Амортизация по уровням напр-я'!$D$14:$F$17</definedName>
    <definedName name="P1_SCOPE_PROT5" hidden="1">'[6]Амортизация по уровням напр-я'!$I$19:$I$22,'[6]Амортизация по уровням напр-я'!$I$14:$I$17,'[6]Амортизация по уровням напр-я'!$D$14:$F$17</definedName>
    <definedName name="P1_SCOPE_PROT8" localSheetId="17" hidden="1">#REF!,#REF!,#REF!,#REF!</definedName>
    <definedName name="P1_SCOPE_PROT8" localSheetId="12" hidden="1">#REF!,#REF!,#REF!,#REF!</definedName>
    <definedName name="P1_SCOPE_PROT8" hidden="1">#REF!,#REF!,#REF!,#REF!</definedName>
    <definedName name="P1_SCOPE_SAVE2" localSheetId="12" hidden="1">#REF!,#REF!,#REF!,#REF!,#REF!,#REF!,#REF!</definedName>
    <definedName name="P1_SCOPE_SAVE2" hidden="1">#REF!,#REF!,#REF!,#REF!,#REF!,#REF!,#REF!</definedName>
    <definedName name="P1_SCOPE_SV_LD" localSheetId="12" hidden="1">#REF!,#REF!,#REF!,#REF!,#REF!,#REF!,#REF!</definedName>
    <definedName name="P1_SET_PROT" localSheetId="12" hidden="1">#REF!,#REF!,#REF!,#REF!,#REF!,#REF!,#REF!</definedName>
    <definedName name="P1_SET_PROT" hidden="1">#REF!,#REF!,#REF!,#REF!,#REF!,#REF!,#REF!</definedName>
    <definedName name="P1_SET_PRT" localSheetId="12" hidden="1">#REF!,#REF!,#REF!,#REF!,#REF!,#REF!,#REF!</definedName>
    <definedName name="P1_SET_PRT" hidden="1">#REF!,#REF!,#REF!,#REF!,#REF!,#REF!,#REF!</definedName>
    <definedName name="P10_SCOPE_FULL_LOAD" localSheetId="12" hidden="1">#REF!,#REF!,#REF!,#REF!,#REF!,#REF!</definedName>
    <definedName name="P11_SCOPE_FULL_LOAD" localSheetId="12" hidden="1">#REF!,#REF!,#REF!,#REF!,#REF!</definedName>
    <definedName name="P12_SCOPE_FULL_LOAD" localSheetId="12" hidden="1">#REF!,#REF!,#REF!,#REF!,#REF!,#REF!</definedName>
    <definedName name="P12_T28_Protection" localSheetId="1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2" hidden="1">#REF!,#REF!,#REF!,#REF!,#REF!,#REF!</definedName>
    <definedName name="P14_SCOPE_FULL_LOAD" localSheetId="12" hidden="1">#REF!,#REF!,#REF!,#REF!,#REF!,#REF!</definedName>
    <definedName name="P15_SCOPE_FULL_LOAD" localSheetId="12" hidden="1">#REF!,#REF!,#REF!,#REF!,#REF!,'Ком предл.'!P1_SCOPE_FULL_LOAD</definedName>
    <definedName name="P16_SCOPE_FULL_LOAD" hidden="1">#N/A</definedName>
    <definedName name="P17_SCOPE_FULL_LOAD" hidden="1">#N/A</definedName>
    <definedName name="P19_T1_Protect" localSheetId="1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" localSheetId="17">#REF!</definedName>
    <definedName name="p2_" localSheetId="12">#REF!</definedName>
    <definedName name="P2_SC22" localSheetId="12" hidden="1">#REF!,#REF!,#REF!,#REF!,#REF!,#REF!,#REF!</definedName>
    <definedName name="P2_SCOPE_CORR" localSheetId="12" hidden="1">#REF!,#REF!,#REF!,#REF!,#REF!,#REF!,#REF!,#REF!</definedName>
    <definedName name="P2_SCOPE_CORR" hidden="1">#REF!,#REF!,#REF!,#REF!,#REF!,#REF!,#REF!,#REF!</definedName>
    <definedName name="P2_SCOPE_FULL_LOAD" localSheetId="12" hidden="1">#REF!,#REF!,#REF!,#REF!,#REF!,#REF!</definedName>
    <definedName name="P2_SCOPE_IND" localSheetId="12" hidden="1">#REF!,#REF!,#REF!,#REF!,#REF!,#REF!</definedName>
    <definedName name="P2_SCOPE_IND" hidden="1">#REF!,#REF!,#REF!,#REF!,#REF!,#REF!</definedName>
    <definedName name="P2_SCOPE_IND2" localSheetId="12" hidden="1">#REF!,#REF!,#REF!,#REF!,#REF!</definedName>
    <definedName name="P2_SCOPE_IND2" hidden="1">#REF!,#REF!,#REF!,#REF!,#REF!</definedName>
    <definedName name="P2_SCOPE_NOTIND" localSheetId="12" hidden="1">#REF!,#REF!,#REF!,#REF!,#REF!,#REF!,#REF!</definedName>
    <definedName name="P2_SCOPE_NOTIND" hidden="1">#REF!,#REF!,#REF!,#REF!,#REF!,#REF!,#REF!</definedName>
    <definedName name="P2_SCOPE_NotInd2" localSheetId="12" hidden="1">#REF!,#REF!,#REF!,#REF!,#REF!,#REF!</definedName>
    <definedName name="P2_SCOPE_NotInd2" hidden="1">#REF!,#REF!,#REF!,#REF!,#REF!,#REF!</definedName>
    <definedName name="P2_SCOPE_NotInd3" localSheetId="12" hidden="1">#REF!,#REF!,#REF!,#REF!,#REF!,#REF!,#REF!</definedName>
    <definedName name="P2_SCOPE_NotInd3" hidden="1">#REF!,#REF!,#REF!,#REF!,#REF!,#REF!,#REF!</definedName>
    <definedName name="P2_SCOPE_NotInt" localSheetId="12" hidden="1">#REF!,#REF!,#REF!,#REF!,#REF!,#REF!,#REF!</definedName>
    <definedName name="P2_SCOPE_PROT1" localSheetId="17" hidden="1">'[5]Баланс энергии'!#REF!,'[5]Баланс энергии'!#REF!,'[5]Баланс энергии'!$E$11,'[5]Баланс энергии'!$G$11:$G$12,'[5]Баланс энергии'!$D$14:$G$17</definedName>
    <definedName name="P2_SCOPE_PROT1" localSheetId="12" hidden="1">'[6]Баланс энергии'!#REF!,'[6]Баланс энергии'!#REF!,'[6]Баланс энергии'!$E$11,'[6]Баланс энергии'!$G$11:$G$12,'[6]Баланс энергии'!$D$14:$G$17</definedName>
    <definedName name="P2_SCOPE_PROT1" hidden="1">'[6]Баланс энергии'!#REF!,'[6]Баланс энергии'!#REF!,'[6]Баланс энергии'!$E$11,'[6]Баланс энергии'!$G$11:$G$12,'[6]Баланс энергии'!$D$14:$G$17</definedName>
    <definedName name="P2_SCOPE_PROT13" localSheetId="17" hidden="1">#REF!,#REF!,#REF!,#REF!,#REF!,#REF!,#REF!,#REF!</definedName>
    <definedName name="P2_SCOPE_PROT13" localSheetId="12" hidden="1">#REF!,#REF!,#REF!,#REF!,#REF!,#REF!,#REF!,#REF!</definedName>
    <definedName name="P2_SCOPE_PROT13" hidden="1">#REF!,#REF!,#REF!,#REF!,#REF!,#REF!,#REF!,#REF!</definedName>
    <definedName name="P2_SCOPE_PROT14" localSheetId="17" hidden="1">#REF!,#REF!,#REF!,#REF!,#REF!,#REF!,#REF!,#REF!</definedName>
    <definedName name="P2_SCOPE_PROT14" localSheetId="12" hidden="1">#REF!,#REF!,#REF!,#REF!,#REF!,#REF!,#REF!,#REF!</definedName>
    <definedName name="P2_SCOPE_PROT14" hidden="1">#REF!,#REF!,#REF!,#REF!,#REF!,#REF!,#REF!,#REF!</definedName>
    <definedName name="P2_SCOPE_PROT2" localSheetId="17" hidden="1">'[5]Баланс мощности'!#REF!,'[5]Баланс мощности'!#REF!,'[5]Баланс мощности'!#REF!,'[5]Баланс мощности'!#REF!,'[5]Баланс мощности'!#REF!</definedName>
    <definedName name="P2_SCOPE_PROT2" localSheetId="12" hidden="1">'[6]Баланс мощности'!#REF!,'[6]Баланс мощности'!#REF!,'[6]Баланс мощности'!#REF!,'[6]Баланс мощности'!#REF!,'[6]Баланс мощности'!#REF!</definedName>
    <definedName name="P2_SCOPE_PROT2" hidden="1">'[6]Баланс мощности'!#REF!,'[6]Баланс мощности'!#REF!,'[6]Баланс мощности'!#REF!,'[6]Баланс мощности'!#REF!,'[6]Баланс мощности'!#REF!</definedName>
    <definedName name="P2_SCOPE_PROT22" localSheetId="17" hidden="1">#REF!,#REF!,#REF!,#REF!,#REF!,#REF!</definedName>
    <definedName name="P2_SCOPE_PROT22" localSheetId="12" hidden="1">#REF!,#REF!,#REF!,#REF!,#REF!,#REF!</definedName>
    <definedName name="P2_SCOPE_PROT22" hidden="1">#REF!,#REF!,#REF!,#REF!,#REF!,#REF!</definedName>
    <definedName name="P2_SCOPE_PROT27" localSheetId="17" hidden="1">'[5] КВЛ 2012-2014 '!#REF!,'[5] КВЛ 2012-2014 '!$A$22:$B$25,'[5] КВЛ 2012-2014 '!$A$28:$B$31,'[5] КВЛ 2012-2014 '!$A$34:$B$37,'[5] КВЛ 2012-2014 '!$A$40:$B$43,'[5] КВЛ 2012-2014 '!#REF!</definedName>
    <definedName name="P2_SCOPE_PROT27" localSheetId="12" hidden="1">'[6] КВЛ 2012-2014 '!#REF!,'[6] КВЛ 2012-2014 '!$A$22:$B$25,'[6] КВЛ 2012-2014 '!$A$28:$B$31,'[6] КВЛ 2012-2014 '!$A$34:$B$37,'[6] КВЛ 2012-2014 '!$A$40:$B$43,'[6] КВЛ 2012-2014 '!#REF!</definedName>
    <definedName name="P2_SCOPE_PROT27" hidden="1">'[6] КВЛ 2012-2014 '!#REF!,'[6] КВЛ 2012-2014 '!$A$22:$B$25,'[6] КВЛ 2012-2014 '!$A$28:$B$31,'[6] КВЛ 2012-2014 '!$A$34:$B$37,'[6] КВЛ 2012-2014 '!$A$40:$B$43,'[6] КВЛ 2012-2014 '!#REF!</definedName>
    <definedName name="P2_SCOPE_PROT5" localSheetId="17" hidden="1">'[5]Амортизация по уровням напр-я'!$D$9:$F$12,'[5]Амортизация по уровням напр-я'!$I$9:$I$12,'[5]Амортизация по уровням напр-я'!$D$19:$F$22</definedName>
    <definedName name="P2_SCOPE_PROT5" hidden="1">'[6]Амортизация по уровням напр-я'!$D$9:$F$12,'[6]Амортизация по уровням напр-я'!$I$9:$I$12,'[6]Амортизация по уровням напр-я'!$D$19:$F$22</definedName>
    <definedName name="P2_SCOPE_PROT8" localSheetId="17" hidden="1">#REF!,#REF!,#REF!,#REF!</definedName>
    <definedName name="P2_SCOPE_PROT8" localSheetId="12" hidden="1">#REF!,#REF!,#REF!,#REF!</definedName>
    <definedName name="P2_SCOPE_PROT8" hidden="1">#REF!,#REF!,#REF!,#REF!</definedName>
    <definedName name="P2_SCOPE_SAVE2" localSheetId="12" hidden="1">#REF!,#REF!,#REF!,#REF!,#REF!,#REF!</definedName>
    <definedName name="P2_SCOPE_SAVE2" hidden="1">#REF!,#REF!,#REF!,#REF!,#REF!,#REF!</definedName>
    <definedName name="p3_" localSheetId="17">#REF!</definedName>
    <definedName name="p3_" localSheetId="12">#REF!</definedName>
    <definedName name="P3_SC22" localSheetId="12" hidden="1">#REF!,#REF!,#REF!,#REF!,#REF!,#REF!</definedName>
    <definedName name="P3_SCOPE_FULL_LOAD" localSheetId="12" hidden="1">#REF!,#REF!,#REF!,#REF!,#REF!,#REF!</definedName>
    <definedName name="P3_SCOPE_IND" localSheetId="12" hidden="1">#REF!,#REF!,#REF!,#REF!,#REF!</definedName>
    <definedName name="P3_SCOPE_IND" hidden="1">#REF!,#REF!,#REF!,#REF!,#REF!</definedName>
    <definedName name="P3_SCOPE_IND2" localSheetId="12" hidden="1">#REF!,#REF!,#REF!,#REF!,#REF!</definedName>
    <definedName name="P3_SCOPE_IND2" hidden="1">#REF!,#REF!,#REF!,#REF!,#REF!</definedName>
    <definedName name="P3_SCOPE_NOTIND" localSheetId="12" hidden="1">#REF!,#REF!,#REF!,#REF!,#REF!,#REF!,#REF!</definedName>
    <definedName name="P3_SCOPE_NOTIND" hidden="1">#REF!,#REF!,#REF!,#REF!,#REF!,#REF!,#REF!</definedName>
    <definedName name="P3_SCOPE_NotInd2" localSheetId="12" hidden="1">#REF!,#REF!,#REF!,#REF!,#REF!,#REF!,#REF!</definedName>
    <definedName name="P3_SCOPE_NotInd2" hidden="1">#REF!,#REF!,#REF!,#REF!,#REF!,#REF!,#REF!</definedName>
    <definedName name="P3_SCOPE_NotInt" localSheetId="12" hidden="1">#REF!,#REF!,#REF!,#REF!,#REF!,#REF!</definedName>
    <definedName name="P3_SCOPE_PROT1" localSheetId="17" hidden="1">'[5]Баланс энергии'!$D$19:$G$20,'[5]Баланс энергии'!$D$22:$G$24,'[5]Баланс энергии'!#REF!,'[5]Баланс энергии'!#REF!,'[5]Баланс энергии'!#REF!</definedName>
    <definedName name="P3_SCOPE_PROT1" hidden="1">'[6]Баланс энергии'!$D$19:$G$20,'[6]Баланс энергии'!$D$22:$G$24,'[6]Баланс энергии'!#REF!,'[6]Баланс энергии'!#REF!,'[6]Баланс энергии'!#REF!</definedName>
    <definedName name="P3_SCOPE_PROT14" localSheetId="17" hidden="1">#REF!,#REF!,#REF!,#REF!,#REF!,#REF!,#REF!,#REF!,#REF!</definedName>
    <definedName name="P3_SCOPE_PROT14" localSheetId="12" hidden="1">#REF!,#REF!,#REF!,#REF!,#REF!,#REF!,#REF!,#REF!,#REF!</definedName>
    <definedName name="P3_SCOPE_PROT14" hidden="1">#REF!,#REF!,#REF!,#REF!,#REF!,#REF!,#REF!,#REF!,#REF!</definedName>
    <definedName name="P3_SCOPE_PROT2" localSheetId="17" hidden="1">'[5]Баланс мощности'!#REF!,'[5]Баланс мощности'!#REF!,'[5]Баланс мощности'!#REF!,'[5]Баланс мощности'!#REF!,'[5]Баланс мощности'!#REF!</definedName>
    <definedName name="P3_SCOPE_PROT2" localSheetId="12" hidden="1">'[6]Баланс мощности'!#REF!,'[6]Баланс мощности'!#REF!,'[6]Баланс мощности'!#REF!,'[6]Баланс мощности'!#REF!,'[6]Баланс мощности'!#REF!</definedName>
    <definedName name="P3_SCOPE_PROT2" hidden="1">'[6]Баланс мощности'!#REF!,'[6]Баланс мощности'!#REF!,'[6]Баланс мощности'!#REF!,'[6]Баланс мощности'!#REF!,'[6]Баланс мощности'!#REF!</definedName>
    <definedName name="P3_SCOPE_PROT8" localSheetId="17" hidden="1">#REF!,#REF!,#REF!,#REF!,#REF!</definedName>
    <definedName name="P3_SCOPE_PROT8" localSheetId="12" hidden="1">#REF!,#REF!,#REF!,#REF!,#REF!</definedName>
    <definedName name="P3_SCOPE_PROT8" hidden="1">#REF!,#REF!,#REF!,#REF!,#REF!</definedName>
    <definedName name="p4_" localSheetId="17">#REF!</definedName>
    <definedName name="p4_" localSheetId="12">#REF!</definedName>
    <definedName name="P4_SCOPE_FULL_LOAD" localSheetId="12" hidden="1">#REF!,#REF!,#REF!,#REF!,#REF!,#REF!</definedName>
    <definedName name="P4_SCOPE_IND" localSheetId="12" hidden="1">#REF!,#REF!,#REF!,#REF!,#REF!</definedName>
    <definedName name="P4_SCOPE_IND" hidden="1">#REF!,#REF!,#REF!,#REF!,#REF!</definedName>
    <definedName name="P4_SCOPE_IND2" localSheetId="12" hidden="1">#REF!,#REF!,#REF!,#REF!,#REF!,#REF!</definedName>
    <definedName name="P4_SCOPE_IND2" hidden="1">#REF!,#REF!,#REF!,#REF!,#REF!,#REF!</definedName>
    <definedName name="P4_SCOPE_NOTIND" localSheetId="12" hidden="1">#REF!,#REF!,#REF!,#REF!,#REF!,#REF!,#REF!</definedName>
    <definedName name="P4_SCOPE_NOTIND" hidden="1">#REF!,#REF!,#REF!,#REF!,#REF!,#REF!,#REF!</definedName>
    <definedName name="P4_SCOPE_NotInd2" localSheetId="12" hidden="1">#REF!,#REF!,#REF!,#REF!,#REF!,#REF!,#REF!</definedName>
    <definedName name="P4_SCOPE_NotInd2" hidden="1">#REF!,#REF!,#REF!,#REF!,#REF!,#REF!,#REF!</definedName>
    <definedName name="P4_SCOPE_PROT1" localSheetId="17" hidden="1">'[5]Баланс энергии'!#REF!,'[5]Баланс энергии'!#REF!,'[5]Баланс энергии'!#REF!,'[5]Баланс энергии'!#REF!,'[5]Баланс энергии'!#REF!</definedName>
    <definedName name="P4_SCOPE_PROT1" localSheetId="12" hidden="1">'[6]Баланс энергии'!#REF!,'[6]Баланс энергии'!#REF!,'[6]Баланс энергии'!#REF!,'[6]Баланс энергии'!#REF!,'[6]Баланс энергии'!#REF!</definedName>
    <definedName name="P4_SCOPE_PROT1" hidden="1">'[6]Баланс энергии'!#REF!,'[6]Баланс энергии'!#REF!,'[6]Баланс энергии'!#REF!,'[6]Баланс энергии'!#REF!,'[6]Баланс энергии'!#REF!</definedName>
    <definedName name="P4_SCOPE_PROT14" localSheetId="17" hidden="1">#REF!,#REF!,#REF!,#REF!,#REF!,#REF!,#REF!,#REF!,#REF!</definedName>
    <definedName name="P4_SCOPE_PROT14" localSheetId="12" hidden="1">#REF!,#REF!,#REF!,#REF!,#REF!,#REF!,#REF!,#REF!,#REF!</definedName>
    <definedName name="P4_SCOPE_PROT14" hidden="1">#REF!,#REF!,#REF!,#REF!,#REF!,#REF!,#REF!,#REF!,#REF!</definedName>
    <definedName name="P4_SCOPE_PROT2" localSheetId="17" hidden="1">'[5]Баланс мощности'!#REF!,'[5]Баланс мощности'!#REF!,'[5]Баланс мощности'!#REF!,'[5]Баланс мощности'!#REF!,'[5]Баланс мощности'!#REF!</definedName>
    <definedName name="P4_SCOPE_PROT2" localSheetId="12" hidden="1">'[6]Баланс мощности'!#REF!,'[6]Баланс мощности'!#REF!,'[6]Баланс мощности'!#REF!,'[6]Баланс мощности'!#REF!,'[6]Баланс мощности'!#REF!</definedName>
    <definedName name="P4_SCOPE_PROT2" hidden="1">'[6]Баланс мощности'!#REF!,'[6]Баланс мощности'!#REF!,'[6]Баланс мощности'!#REF!,'[6]Баланс мощности'!#REF!,'[6]Баланс мощности'!#REF!</definedName>
    <definedName name="P4_SCOPE_PROT8" localSheetId="17" hidden="1">#REF!,#REF!,#REF!,#REF!,#REF!</definedName>
    <definedName name="P4_SCOPE_PROT8" localSheetId="12" hidden="1">#REF!,#REF!,#REF!,#REF!,#REF!</definedName>
    <definedName name="P4_SCOPE_PROT8" hidden="1">#REF!,#REF!,#REF!,#REF!,#REF!</definedName>
    <definedName name="P5_SCOPE_FULL_LOAD" localSheetId="12" hidden="1">#REF!,#REF!,#REF!,#REF!,#REF!,#REF!</definedName>
    <definedName name="P5_SCOPE_NOTIND" localSheetId="12" hidden="1">#REF!,#REF!,#REF!,#REF!,#REF!,#REF!,#REF!</definedName>
    <definedName name="P5_SCOPE_NOTIND" hidden="1">#REF!,#REF!,#REF!,#REF!,#REF!,#REF!,#REF!</definedName>
    <definedName name="P5_SCOPE_NotInd2" localSheetId="12" hidden="1">#REF!,#REF!,#REF!,#REF!,#REF!,#REF!,#REF!</definedName>
    <definedName name="P5_SCOPE_NotInd2" hidden="1">#REF!,#REF!,#REF!,#REF!,#REF!,#REF!,#REF!</definedName>
    <definedName name="P5_SCOPE_PROT1" localSheetId="17" hidden="1">'[5]Баланс энергии'!#REF!,'[5]Баланс энергии'!#REF!,'[5]Баланс энергии'!#REF!,'[5]Баланс энергии'!#REF!,'[5]Баланс энергии'!#REF!</definedName>
    <definedName name="P5_SCOPE_PROT1" localSheetId="12" hidden="1">'[6]Баланс энергии'!#REF!,'[6]Баланс энергии'!#REF!,'[6]Баланс энергии'!#REF!,'[6]Баланс энергии'!#REF!,'[6]Баланс энергии'!#REF!</definedName>
    <definedName name="P5_SCOPE_PROT1" hidden="1">'[6]Баланс энергии'!#REF!,'[6]Баланс энергии'!#REF!,'[6]Баланс энергии'!#REF!,'[6]Баланс энергии'!#REF!,'[6]Баланс энергии'!#REF!</definedName>
    <definedName name="P5_SCOPE_PROT2" localSheetId="17" hidden="1">'[5]Баланс мощности'!#REF!,'[5]Баланс мощности'!#REF!,'[5]Баланс мощности'!#REF!,'[5]Баланс мощности'!#REF!,'[5]Баланс мощности'!#REF!</definedName>
    <definedName name="P5_SCOPE_PROT2" localSheetId="12" hidden="1">'[6]Баланс мощности'!#REF!,'[6]Баланс мощности'!#REF!,'[6]Баланс мощности'!#REF!,'[6]Баланс мощности'!#REF!,'[6]Баланс мощности'!#REF!</definedName>
    <definedName name="P5_SCOPE_PROT2" hidden="1">'[6]Баланс мощности'!#REF!,'[6]Баланс мощности'!#REF!,'[6]Баланс мощности'!#REF!,'[6]Баланс мощности'!#REF!,'[6]Баланс мощности'!#REF!</definedName>
    <definedName name="P5_SCOPE_PROT8" localSheetId="17" hidden="1">#REF!,#REF!,#REF!,#REF!,#REF!</definedName>
    <definedName name="P5_SCOPE_PROT8" localSheetId="12" hidden="1">#REF!,#REF!,#REF!,#REF!,#REF!</definedName>
    <definedName name="P5_SCOPE_PROT8" hidden="1">#REF!,#REF!,#REF!,#REF!,#REF!</definedName>
    <definedName name="P6_SCOPE_FULL_LOAD" localSheetId="12" hidden="1">#REF!,#REF!,#REF!,#REF!,#REF!,#REF!</definedName>
    <definedName name="P6_SCOPE_NOTIND" localSheetId="12" hidden="1">#REF!,#REF!,#REF!,#REF!,#REF!,#REF!,#REF!</definedName>
    <definedName name="P6_SCOPE_NOTIND" hidden="1">#REF!,#REF!,#REF!,#REF!,#REF!,#REF!,#REF!</definedName>
    <definedName name="P6_SCOPE_NotInd2" localSheetId="12" hidden="1">#REF!,#REF!,#REF!,#REF!,#REF!,#REF!,#REF!</definedName>
    <definedName name="P6_SCOPE_NotInd2" hidden="1">#REF!,#REF!,#REF!,#REF!,#REF!,#REF!,#REF!</definedName>
    <definedName name="P6_SCOPE_PROT1" localSheetId="17" hidden="1">'[5]Баланс энергии'!#REF!,'[5]Баланс энергии'!#REF!,'[5]Баланс энергии'!$A$39:$B$41,'[5]Баланс энергии'!#REF!,ГСМ!P1_SCOPE_PROT1,ГСМ!P2_SCOPE_PROT1</definedName>
    <definedName name="P6_SCOPE_PROT1" localSheetId="12" hidden="1">'[6]Баланс энергии'!#REF!,'[6]Баланс энергии'!#REF!,'[6]Баланс энергии'!$A$39:$B$41,'[6]Баланс энергии'!#REF!,'Ком предл.'!P1_SCOPE_PROT1,'Ком предл.'!P2_SCOPE_PROT1</definedName>
    <definedName name="P6_SCOPE_PROT1" hidden="1">'[6]Баланс энергии'!#REF!,'[6]Баланс энергии'!#REF!,'[6]Баланс энергии'!$A$39:$B$41,'[6]Баланс энергии'!#REF!,P1_SCOPE_PROT1,P2_SCOPE_PROT1</definedName>
    <definedName name="P6_SCOPE_PROT8" localSheetId="17" hidden="1">#REF!,#REF!,#REF!,#REF!</definedName>
    <definedName name="P6_SCOPE_PROT8" localSheetId="12" hidden="1">#REF!,#REF!,#REF!,#REF!</definedName>
    <definedName name="P6_SCOPE_PROT8" hidden="1">#REF!,#REF!,#REF!,#REF!</definedName>
    <definedName name="P6_T2.1?Protection" localSheetId="12">P1_T2.1?Protection</definedName>
    <definedName name="P6_T2.1?Protection">P1_T2.1?Protection</definedName>
    <definedName name="P7_SCOPE_FULL_LOAD" localSheetId="12" hidden="1">#REF!,#REF!,#REF!,#REF!,#REF!,#REF!</definedName>
    <definedName name="P7_SCOPE_NOTIND" localSheetId="12" hidden="1">#REF!,#REF!,#REF!,#REF!,#REF!,#REF!</definedName>
    <definedName name="P7_SCOPE_NOTIND" hidden="1">#REF!,#REF!,#REF!,#REF!,#REF!,#REF!</definedName>
    <definedName name="P7_SCOPE_NotInd2" localSheetId="12" hidden="1">#REF!,#REF!,#REF!,#REF!,#REF!,'Ком предл.'!P1_SCOPE_NotInd2,'Ком предл.'!P2_SCOPE_NotInd2,'Ком предл.'!P3_SCOPE_NotInd2</definedName>
    <definedName name="P7_SCOPE_NotInd2" hidden="1">#REF!,#REF!,#REF!,#REF!,#REF!,P1_SCOPE_NotInd2,P2_SCOPE_NotInd2,P3_SCOPE_NotInd2</definedName>
    <definedName name="P8_SCOPE_FULL_LOAD" localSheetId="12" hidden="1">#REF!,#REF!,#REF!,#REF!,#REF!,#REF!</definedName>
    <definedName name="P8_SCOPE_NOTIND" localSheetId="12" hidden="1">#REF!,#REF!,#REF!,#REF!,#REF!,#REF!</definedName>
    <definedName name="P8_SCOPE_NOTIND" hidden="1">#REF!,#REF!,#REF!,#REF!,#REF!,#REF!</definedName>
    <definedName name="P9_SCOPE_FULL_LOAD" localSheetId="12" hidden="1">#REF!,#REF!,#REF!,#REF!,#REF!,#REF!</definedName>
    <definedName name="P9_SCOPE_NotInd" localSheetId="12" hidden="1">#REF!,'Ком предл.'!P1_SCOPE_NOTIND,'Ком предл.'!P2_SCOPE_NOTIND,'Ком предл.'!P3_SCOPE_NOTIND,'Ком предл.'!P4_SCOPE_NOTIND,'Ком предл.'!P5_SCOPE_NOTIND,'Ком предл.'!P6_SCOPE_NOTIND,'Ком предл.'!P7_SCOPE_NOTIND</definedName>
    <definedName name="PER_ET" localSheetId="12">#REF!</definedName>
    <definedName name="period_list">[3]TEHSHEET!$N$2:$N$6</definedName>
    <definedName name="pIns_List21_1" localSheetId="12">#REF!</definedName>
    <definedName name="pIns_List21_2" localSheetId="12">#REF!</definedName>
    <definedName name="polta" localSheetId="12">#REF!</definedName>
    <definedName name="PR_OPT" localSheetId="12">#REF!</definedName>
    <definedName name="PR_ROZN" localSheetId="12">#REF!</definedName>
    <definedName name="PROT" localSheetId="12">#REF!,#REF!,#REF!,#REF!,#REF!,#REF!</definedName>
    <definedName name="PROT_22" localSheetId="12">P3_PROT_22,P4_PROT_22,P5_PROT_22</definedName>
    <definedName name="rab_1_230" localSheetId="12">#REF!</definedName>
    <definedName name="REG_ET" localSheetId="12">#REF!</definedName>
    <definedName name="REG_PROT" localSheetId="12">#REF!,#REF!,#REF!,#REF!,#REF!,#REF!,#REF!</definedName>
    <definedName name="REGcom" localSheetId="12">#REF!</definedName>
    <definedName name="REGION">[3]TEHSHEET!$A$1:$A$84</definedName>
    <definedName name="region_name">[2]Титульный!$F$8</definedName>
    <definedName name="REGION1">[1]TEHSHEET!$B$4:$B$91</definedName>
    <definedName name="regions" localSheetId="12">#REF!</definedName>
    <definedName name="REGUL" localSheetId="12">#REF!</definedName>
    <definedName name="rr">#N/A</definedName>
    <definedName name="ŕŕ">#N/A</definedName>
    <definedName name="RRE" localSheetId="12">#REF!</definedName>
    <definedName name="S1_" localSheetId="12">#REF!</definedName>
    <definedName name="S10_" localSheetId="12">#REF!</definedName>
    <definedName name="S11_" localSheetId="12">#REF!</definedName>
    <definedName name="S12_" localSheetId="12">#REF!</definedName>
    <definedName name="S13_" localSheetId="12">#REF!</definedName>
    <definedName name="S14_" localSheetId="12">#REF!</definedName>
    <definedName name="S15_" localSheetId="12">#REF!</definedName>
    <definedName name="S16_" localSheetId="12">#REF!</definedName>
    <definedName name="S17_" localSheetId="12">#REF!</definedName>
    <definedName name="S18_" localSheetId="12">#REF!</definedName>
    <definedName name="S19_" localSheetId="12">#REF!</definedName>
    <definedName name="S2_" localSheetId="12">#REF!</definedName>
    <definedName name="S20_" localSheetId="12">#REF!</definedName>
    <definedName name="S3_" localSheetId="12">#REF!</definedName>
    <definedName name="S4_" localSheetId="12">#REF!</definedName>
    <definedName name="S5_" localSheetId="12">#REF!</definedName>
    <definedName name="S6_" localSheetId="12">#REF!</definedName>
    <definedName name="S7_" localSheetId="12">#REF!</definedName>
    <definedName name="S8_" localSheetId="12">#REF!</definedName>
    <definedName name="S9_" localSheetId="12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2">#REF!</definedName>
    <definedName name="SBT_PROT" localSheetId="12">#REF!,#REF!,#REF!,#REF!,'Ком предл.'!P1_SBT_PROT</definedName>
    <definedName name="SBTcom" localSheetId="12">#REF!</definedName>
    <definedName name="sch" localSheetId="12">#REF!</definedName>
    <definedName name="SCOPE" localSheetId="12">#REF!</definedName>
    <definedName name="SCOPE_1" localSheetId="12">#REF!</definedName>
    <definedName name="SCOPE_16_LD" localSheetId="12">#REF!</definedName>
    <definedName name="SCOPE_16_PRT" localSheetId="12">P1_SCOPE_16_PRT,P2_SCOPE_16_PRT</definedName>
    <definedName name="SCOPE_17.1_LD" localSheetId="12">#REF!</definedName>
    <definedName name="SCOPE_17_LD" localSheetId="12">#REF!</definedName>
    <definedName name="Scope_17_PRT" localSheetId="12">P1_SCOPE_16_PRT,P2_SCOPE_16_PRT</definedName>
    <definedName name="SCOPE_2" localSheetId="12">#REF!</definedName>
    <definedName name="SCOPE_2.1_LD" localSheetId="12">#REF!</definedName>
    <definedName name="SCOPE_2.1_PRT" localSheetId="12">#REF!</definedName>
    <definedName name="SCOPE_2.2_LD" localSheetId="12">#REF!</definedName>
    <definedName name="SCOPE_2.2_PRT" localSheetId="12">#REF!</definedName>
    <definedName name="SCOPE_2_1" localSheetId="12">#REF!</definedName>
    <definedName name="SCOPE_2_DR1" localSheetId="12">#REF!</definedName>
    <definedName name="SCOPE_2_DR10" localSheetId="12">#REF!</definedName>
    <definedName name="SCOPE_2_DR11" localSheetId="12">#REF!</definedName>
    <definedName name="SCOPE_2_DR2" localSheetId="12">#REF!</definedName>
    <definedName name="SCOPE_2_DR3" localSheetId="12">#REF!</definedName>
    <definedName name="SCOPE_2_DR4" localSheetId="12">#REF!</definedName>
    <definedName name="SCOPE_2_DR5" localSheetId="12">#REF!</definedName>
    <definedName name="SCOPE_2_DR6" localSheetId="12">#REF!</definedName>
    <definedName name="SCOPE_2_DR7" localSheetId="12">#REF!</definedName>
    <definedName name="SCOPE_2_DR8" localSheetId="12">#REF!</definedName>
    <definedName name="SCOPE_2_DR9" localSheetId="12">#REF!</definedName>
    <definedName name="SCOPE_25_LD" localSheetId="12">#REF!</definedName>
    <definedName name="SCOPE_3_DR1" localSheetId="12">#REF!</definedName>
    <definedName name="SCOPE_3_DR10" localSheetId="12">#REF!</definedName>
    <definedName name="SCOPE_3_DR11" localSheetId="12">#REF!</definedName>
    <definedName name="SCOPE_3_DR2" localSheetId="12">#REF!</definedName>
    <definedName name="SCOPE_3_DR3" localSheetId="12">#REF!</definedName>
    <definedName name="SCOPE_3_DR4" localSheetId="12">#REF!</definedName>
    <definedName name="SCOPE_3_DR5" localSheetId="12">#REF!</definedName>
    <definedName name="SCOPE_3_DR6" localSheetId="12">#REF!</definedName>
    <definedName name="SCOPE_3_DR7" localSheetId="12">#REF!</definedName>
    <definedName name="SCOPE_3_DR8" localSheetId="12">#REF!</definedName>
    <definedName name="SCOPE_3_DR9" localSheetId="12">#REF!</definedName>
    <definedName name="SCOPE_3_LD" localSheetId="12">#REF!</definedName>
    <definedName name="SCOPE_3_PRT" localSheetId="12">#REF!</definedName>
    <definedName name="SCOPE_4_LD" localSheetId="12">#REF!</definedName>
    <definedName name="SCOPE_5_LD" localSheetId="12">#REF!</definedName>
    <definedName name="SCOPE_CORR" localSheetId="12">#REF!,#REF!,#REF!,#REF!,#REF!,'Ком предл.'!P1_SCOPE_CORR,'Ком предл.'!P2_SCOPE_CORR</definedName>
    <definedName name="SCOPE_CPR" localSheetId="12">#REF!</definedName>
    <definedName name="SCOPE_DIP1_1" localSheetId="17">'[5]Баланс энергии'!#REF!</definedName>
    <definedName name="SCOPE_DIP1_1" localSheetId="12">'[6]Баланс энергии'!#REF!</definedName>
    <definedName name="SCOPE_DIP1_2" localSheetId="17">'[5]Баланс энергии'!#REF!</definedName>
    <definedName name="SCOPE_DIP1_2" localSheetId="12">'[6]Баланс энергии'!#REF!</definedName>
    <definedName name="SCOPE_DOP2" localSheetId="12">#REF!,#REF!,#REF!,#REF!,#REF!,#REF!</definedName>
    <definedName name="SCOPE_DOP3" localSheetId="12">#REF!,#REF!,#REF!,#REF!,#REF!,#REF!</definedName>
    <definedName name="SCOPE_ESOLD" localSheetId="12">#REF!</definedName>
    <definedName name="SCOPE_ETALON" localSheetId="12">#REF!</definedName>
    <definedName name="SCOPE_ETALON2" localSheetId="12">#REF!</definedName>
    <definedName name="SCOPE_F2_LD1" localSheetId="12">#REF!</definedName>
    <definedName name="SCOPE_F2_LD2" localSheetId="12">#REF!</definedName>
    <definedName name="SCOPE_FLOAD" localSheetId="12">#REF!,'Ком предл.'!P1_SCOPE_FLOAD</definedName>
    <definedName name="SCOPE_FORM46_EE1" localSheetId="12">#REF!</definedName>
    <definedName name="SCOPE_FRML" localSheetId="12">#REF!,#REF!,'Ком предл.'!P1_SCOPE_FRML</definedName>
    <definedName name="SCOPE_FST7" localSheetId="12">#REF!,#REF!,#REF!,#REF!,'Ком предл.'!P1_SCOPE_FST7</definedName>
    <definedName name="SCOPE_FULL_LOAD" localSheetId="12">[0]!P16_SCOPE_FULL_LOAD,[0]!P17_SCOPE_FULL_LOAD</definedName>
    <definedName name="SCOPE_IND" localSheetId="12">#REF!,#REF!,'Ком предл.'!P1_SCOPE_IND,'Ком предл.'!P2_SCOPE_IND,'Ком предл.'!P3_SCOPE_IND,'Ком предл.'!P4_SCOPE_IND</definedName>
    <definedName name="SCOPE_IND2" localSheetId="12">#REF!,#REF!,#REF!,'Ком предл.'!P1_SCOPE_IND2,'Ком предл.'!P2_SCOPE_IND2,'Ком предл.'!P3_SCOPE_IND2,'Ком предл.'!P4_SCOPE_IND2</definedName>
    <definedName name="scope_ld" localSheetId="12">#REF!</definedName>
    <definedName name="SCOPE_LOAD" localSheetId="12">#REF!</definedName>
    <definedName name="SCOPE_LOAD_FUEL" localSheetId="12">#REF!</definedName>
    <definedName name="SCOPE_LOAD1" localSheetId="12">#REF!</definedName>
    <definedName name="SCOPE_MNTH" localSheetId="17">[5]TEHSHEET!$E$7:$E$18</definedName>
    <definedName name="SCOPE_NOTIND" localSheetId="12">'Ком предл.'!P1_SCOPE_NOTIND,'Ком предл.'!P2_SCOPE_NOTIND,'Ком предл.'!P3_SCOPE_NOTIND,'Ком предл.'!P4_SCOPE_NOTIND,'Ком предл.'!P5_SCOPE_NOTIND,'Ком предл.'!P6_SCOPE_NOTIND,'Ком предл.'!P7_SCOPE_NOTIND,'Ком предл.'!P8_SCOPE_NOTIND</definedName>
    <definedName name="SCOPE_NotInd2" localSheetId="12">'Ком предл.'!P4_SCOPE_NotInd2,'Ком предл.'!P5_SCOPE_NotInd2,'Ком предл.'!P6_SCOPE_NotInd2,'Ком предл.'!P7_SCOPE_NotInd2</definedName>
    <definedName name="SCOPE_NotInd3" localSheetId="12">#REF!,#REF!,#REF!,'Ком предл.'!P1_SCOPE_NotInd3,'Ком предл.'!P2_SCOPE_NotInd3</definedName>
    <definedName name="SCOPE_ORE" localSheetId="12">#REF!</definedName>
    <definedName name="SCOPE_PER_LD" localSheetId="12">#REF!</definedName>
    <definedName name="SCOPE_PER_PRT" localSheetId="12">P5_SCOPE_PER_PRT,P6_SCOPE_PER_PRT,P7_SCOPE_PER_PRT,P8_SCOPE_PER_PRT</definedName>
    <definedName name="SCOPE_PRD" localSheetId="12">#REF!</definedName>
    <definedName name="SCOPE_PRD_ET" localSheetId="12">#REF!</definedName>
    <definedName name="SCOPE_PRD_ET2" localSheetId="12">#REF!</definedName>
    <definedName name="SCOPE_PROT1" localSheetId="17">ГСМ!P3_SCOPE_PROT1,ГСМ!P4_SCOPE_PROT1,ГСМ!P5_SCOPE_PROT1,ГСМ!P6_SCOPE_PROT1</definedName>
    <definedName name="SCOPE_PROT1" localSheetId="12">P3_SCOPE_PROT1,'Ком предл.'!P4_SCOPE_PROT1,'Ком предл.'!P5_SCOPE_PROT1,'Ком предл.'!P6_SCOPE_PROT1</definedName>
    <definedName name="SCOPE_PROT10" localSheetId="17">#REF!,#REF!,#REF!,#REF!,#REF!,#REF!</definedName>
    <definedName name="SCOPE_PROT10" localSheetId="12">#REF!,#REF!,#REF!,#REF!,#REF!,#REF!</definedName>
    <definedName name="SCOPE_PROT11" localSheetId="17">#REF!,#REF!,#REF!,#REF!</definedName>
    <definedName name="SCOPE_PROT11" localSheetId="12">#REF!,#REF!,#REF!,#REF!</definedName>
    <definedName name="SCOPE_PROT12" localSheetId="17">#REF!,#REF!,#REF!</definedName>
    <definedName name="SCOPE_PROT12" localSheetId="12">#REF!,#REF!,#REF!</definedName>
    <definedName name="SCOPE_PROT13" localSheetId="17">#REF!,#REF!,ГСМ!P1_SCOPE_PROT13,ГСМ!P2_SCOPE_PROT13</definedName>
    <definedName name="SCOPE_PROT13" localSheetId="12">#REF!,#REF!,'Ком предл.'!P1_SCOPE_PROT13,'Ком предл.'!P2_SCOPE_PROT13</definedName>
    <definedName name="SCOPE_PROT14" localSheetId="17">#REF!,#REF!,#REF!,ГСМ!P1_SCOPE_PROT14,ГСМ!P2_SCOPE_PROT14,ГСМ!P3_SCOPE_PROT14,ГСМ!P4_SCOPE_PROT14</definedName>
    <definedName name="SCOPE_PROT14" localSheetId="12">#REF!,#REF!,#REF!,'Ком предл.'!P1_SCOPE_PROT14,'Ком предл.'!P2_SCOPE_PROT14,'Ком предл.'!P3_SCOPE_PROT14,'Ком предл.'!P4_SCOPE_PROT14</definedName>
    <definedName name="SCOPE_PROT15" localSheetId="17">'[5]Плата за землю'!$B$7:$E$7,'[5]Плата за землю'!$A$10:$E$13</definedName>
    <definedName name="SCOPE_PROT16" localSheetId="17">'[5]Транспортный налог'!#REF!,'[5]Транспортный налог'!#REF!,'[5]Транспортный налог'!$E$19,ГСМ!P1_SCOPE_PROT16</definedName>
    <definedName name="SCOPE_PROT16" localSheetId="12">'[6]Транспортный налог'!#REF!,'[6]Транспортный налог'!#REF!,'[6]Транспортный налог'!$E$19,'Ком предл.'!P1_SCOPE_PROT16</definedName>
    <definedName name="SCOPE_PROT18" localSheetId="17">#REF!,#REF!,#REF!</definedName>
    <definedName name="SCOPE_PROT18" localSheetId="12">#REF!,#REF!,#REF!</definedName>
    <definedName name="SCOPE_PROT19" localSheetId="17">'[5]Аренда имущества'!$A$23:$E$27,'[5]Аренда имущества'!$A$8:$E$13,'[5]Аренда имущества'!$A$30:$E$33</definedName>
    <definedName name="SCOPE_PROT2" localSheetId="17">ГСМ!P1_SCOPE_PROT2,ГСМ!P2_SCOPE_PROT2,ГСМ!P3_SCOPE_PROT2,ГСМ!P4_SCOPE_PROT2,ГСМ!P5_SCOPE_PROT2</definedName>
    <definedName name="SCOPE_PROT2" localSheetId="12">'Ком предл.'!P1_SCOPE_PROT2,'Ком предл.'!P2_SCOPE_PROT2,'Ком предл.'!P3_SCOPE_PROT2,'Ком предл.'!P4_SCOPE_PROT2,'Ком предл.'!P5_SCOPE_PROT2</definedName>
    <definedName name="SCOPE_PROT20" localSheetId="17">#REF!,#REF!,#REF!,#REF!</definedName>
    <definedName name="SCOPE_PROT20" localSheetId="12">#REF!,#REF!,#REF!,#REF!</definedName>
    <definedName name="SCOPE_PROT21" localSheetId="17">#REF!,#REF!,#REF!,#REF!,#REF!,#REF!,#REF!,#REF!</definedName>
    <definedName name="SCOPE_PROT21" localSheetId="12">#REF!,#REF!,#REF!,#REF!,#REF!,#REF!,#REF!,#REF!</definedName>
    <definedName name="SCOPE_PROT22" localSheetId="17">#REF!,#REF!,#REF!,#REF!,ГСМ!P1_SCOPE_PROT22,ГСМ!P2_SCOPE_PROT22</definedName>
    <definedName name="SCOPE_PROT22" localSheetId="12">#REF!,#REF!,#REF!,#REF!,'Ком предл.'!P1_SCOPE_PROT22,'Ком предл.'!P2_SCOPE_PROT22</definedName>
    <definedName name="SCOPE_PROT23" localSheetId="17">'[5]Прочие НР'!$C$7:$C$11,'[5]Прочие НР'!#REF!,'[5]Прочие НР'!$D$13,'[5]Прочие НР'!$B$13,'[5]Прочие НР'!$A$7:$A$11</definedName>
    <definedName name="SCOPE_PROT23" localSheetId="12">'[6]Прочие НР'!$C$7:$C$11,'[6]Прочие НР'!#REF!,'[6]Прочие НР'!$D$13,'[6]Прочие НР'!$B$13,'[6]Прочие НР'!$A$7:$A$11</definedName>
    <definedName name="SCOPE_PROT24" localSheetId="17">#REF!,#REF!,#REF!,#REF!,#REF!</definedName>
    <definedName name="SCOPE_PROT24" localSheetId="12">#REF!,#REF!,#REF!,#REF!,#REF!</definedName>
    <definedName name="SCOPE_PROT25" localSheetId="17">'[5]Налог на имущество'!$E$7:$E$9,'[5]Налог на имущество'!#REF!,'[5]Налог на имущество'!$D$11,'[5]Налог на имущество'!$B$12:$E$16,'[5]Налог на имущество'!#REF!</definedName>
    <definedName name="SCOPE_PROT25" localSheetId="12">'[6]Налог на имущество'!$E$7:$E$9,'[6]Налог на имущество'!#REF!,'[6]Налог на имущество'!$D$11,'[6]Налог на имущество'!$B$12:$E$16,'[6]Налог на имущество'!#REF!</definedName>
    <definedName name="SCOPE_PROT26" localSheetId="17">'[5]Выпадающий доход'!#REF!,'[5]Выпадающий доход'!#REF!,'[5]Выпадающий доход'!#REF!,'[5]Выпадающий доход'!$A$7:$A$9,'[5]Выпадающий доход'!$E$7:$E$9</definedName>
    <definedName name="SCOPE_PROT26" localSheetId="12">'[6]Выпадающий доход'!#REF!,'[6]Выпадающий доход'!#REF!,'[6]Выпадающий доход'!#REF!,'[6]Выпадающий доход'!$A$7:$A$9,'[6]Выпадающий доход'!$E$7:$E$9</definedName>
    <definedName name="SCOPE_PROT27" localSheetId="17">'[5] КВЛ 2012-2014 '!#REF!,'[5] КВЛ 2012-2014 '!#REF!,'[5] КВЛ 2012-2014 '!#REF!,'[5] КВЛ 2012-2014 '!$A$2:$G$2,'[5] КВЛ 2012-2014 '!#REF!,ГСМ!P1_SCOPE_PROT27,ГСМ!P2_SCOPE_PROT27</definedName>
    <definedName name="SCOPE_PROT27" localSheetId="12">'[6] КВЛ 2012-2014 '!#REF!,'[6] КВЛ 2012-2014 '!#REF!,'[6] КВЛ 2012-2014 '!#REF!,'[6] КВЛ 2012-2014 '!$A$2:$G$2,'[6] КВЛ 2012-2014 '!#REF!,'Ком предл.'!P1_SCOPE_PROT27,'Ком предл.'!P2_SCOPE_PROT27</definedName>
    <definedName name="SCOPE_PROT28" localSheetId="17">#REF!</definedName>
    <definedName name="SCOPE_PROT28" localSheetId="12">#REF!</definedName>
    <definedName name="SCOPE_PROT29" localSheetId="17">#REF!,#REF!,#REF!,#REF!</definedName>
    <definedName name="SCOPE_PROT29" localSheetId="12">#REF!,#REF!,#REF!,#REF!</definedName>
    <definedName name="SCOPE_PROT3" localSheetId="17">#REF!,#REF!,#REF!</definedName>
    <definedName name="SCOPE_PROT3" localSheetId="12">#REF!,#REF!,#REF!</definedName>
    <definedName name="SCOPE_PROT30" localSheetId="17">#REF!</definedName>
    <definedName name="SCOPE_PROT30" localSheetId="12">#REF!</definedName>
    <definedName name="SCOPE_PROT31" localSheetId="17">#REF!</definedName>
    <definedName name="SCOPE_PROT31" localSheetId="12">#REF!</definedName>
    <definedName name="SCOPE_PROT32" localSheetId="17">#REF!,#REF!,#REF!</definedName>
    <definedName name="SCOPE_PROT32" localSheetId="12">#REF!,#REF!,#REF!</definedName>
    <definedName name="SCOPE_PROT33" localSheetId="17">#REF!,#REF!,#REF!,#REF!</definedName>
    <definedName name="SCOPE_PROT33" localSheetId="12">#REF!,#REF!,#REF!,#REF!</definedName>
    <definedName name="SCOPE_PROT34" localSheetId="17">#REF!,ГСМ!P1_SCOPE_PROT34</definedName>
    <definedName name="SCOPE_PROT34" localSheetId="12">#REF!,'Ком предл.'!P1_SCOPE_PROT34</definedName>
    <definedName name="SCOPE_PROT35" localSheetId="17">#REF!,#REF!,#REF!</definedName>
    <definedName name="SCOPE_PROT35" localSheetId="12">#REF!,#REF!,#REF!</definedName>
    <definedName name="SCOPE_PROT36" localSheetId="17">#REF!,#REF!</definedName>
    <definedName name="SCOPE_PROT36" localSheetId="12">#REF!,#REF!</definedName>
    <definedName name="SCOPE_PROT37" localSheetId="17">#REF!,#REF!,#REF!</definedName>
    <definedName name="SCOPE_PROT37" localSheetId="12">#REF!,#REF!,#REF!</definedName>
    <definedName name="SCOPE_PROT38" localSheetId="17">#REF!,#REF!,#REF!</definedName>
    <definedName name="SCOPE_PROT38" localSheetId="12">#REF!,#REF!,#REF!</definedName>
    <definedName name="SCOPE_PROT4" localSheetId="17">#REF!</definedName>
    <definedName name="SCOPE_PROT4" localSheetId="12">#REF!</definedName>
    <definedName name="SCOPE_PROT5" localSheetId="17">ГСМ!P1_SCOPE_PROT5,ГСМ!P2_SCOPE_PROT5</definedName>
    <definedName name="SCOPE_PROT5" localSheetId="12">P1_SCOPE_PROT5,P2_SCOPE_PROT5</definedName>
    <definedName name="SCOPE_PROT6" localSheetId="17">'[5]Свод по амортизации'!$E$8:$E$10,'[5]Свод по амортизации'!$C$14:$E$14,'[5]Свод по амортизации'!#REF!</definedName>
    <definedName name="SCOPE_PROT7" localSheetId="17">#REF!,#REF!,#REF!,#REF!,#REF!</definedName>
    <definedName name="SCOPE_PROT7" localSheetId="12">#REF!,#REF!,#REF!,#REF!,#REF!</definedName>
    <definedName name="SCOPE_PROT8" localSheetId="17">#REF!,ГСМ!P1_SCOPE_PROT8,ГСМ!P2_SCOPE_PROT8,ГСМ!P3_SCOPE_PROT8,ГСМ!P4_SCOPE_PROT8,ГСМ!P5_SCOPE_PROT8,ГСМ!P6_SCOPE_PROT8</definedName>
    <definedName name="SCOPE_PROT8" localSheetId="12">#REF!,'Ком предл.'!P1_SCOPE_PROT8,'Ком предл.'!P2_SCOPE_PROT8,'Ком предл.'!P3_SCOPE_PROT8,'Ком предл.'!P4_SCOPE_PROT8,'Ком предл.'!P5_SCOPE_PROT8,'Ком предл.'!P6_SCOPE_PROT8</definedName>
    <definedName name="SCOPE_PRT" localSheetId="12">#REF!,#REF!,#REF!,#REF!,#REF!,#REF!</definedName>
    <definedName name="SCOPE_PRZ" localSheetId="12">#REF!</definedName>
    <definedName name="SCOPE_PRZ_ET" localSheetId="12">#REF!</definedName>
    <definedName name="SCOPE_PRZ_ET2" localSheetId="12">#REF!</definedName>
    <definedName name="SCOPE_REGIONS" localSheetId="12">#REF!</definedName>
    <definedName name="SCOPE_REGLD" localSheetId="12">#REF!</definedName>
    <definedName name="SCOPE_RG" localSheetId="12">#REF!</definedName>
    <definedName name="SCOPE_SAVE2" localSheetId="12">#REF!,#REF!,#REF!,#REF!,#REF!,'Ком предл.'!P1_SCOPE_SAVE2,'Ком предл.'!P2_SCOPE_SAVE2</definedName>
    <definedName name="SCOPE_SBTLD" localSheetId="12">#REF!</definedName>
    <definedName name="SCOPE_SETLD" localSheetId="12">#REF!</definedName>
    <definedName name="SCOPE_SS" localSheetId="12">#REF!,#REF!,#REF!,#REF!,#REF!,#REF!</definedName>
    <definedName name="SCOPE_SS2" localSheetId="12">#REF!</definedName>
    <definedName name="SCOPE_SV_LD2" localSheetId="12">#REF!</definedName>
    <definedName name="SCOPE_SV_PRT" localSheetId="12">P1_SCOPE_SV_PRT,P2_SCOPE_SV_PRT,P3_SCOPE_SV_PRT</definedName>
    <definedName name="SCOPE10" localSheetId="12">#REF!</definedName>
    <definedName name="SCOPE11" localSheetId="12">#REF!</definedName>
    <definedName name="SCOPE12" localSheetId="12">#REF!</definedName>
    <definedName name="SCOPE2" localSheetId="12">#REF!</definedName>
    <definedName name="SCOPE3" localSheetId="12">#REF!</definedName>
    <definedName name="SCOPE4" localSheetId="12">#REF!</definedName>
    <definedName name="SCOPE5" localSheetId="12">#REF!</definedName>
    <definedName name="SCOPE6" localSheetId="12">#REF!</definedName>
    <definedName name="SCOPE7" localSheetId="12">#REF!</definedName>
    <definedName name="SCOPE8" localSheetId="12">#REF!</definedName>
    <definedName name="SCOPE9" localSheetId="12">#REF!</definedName>
    <definedName name="SEP" localSheetId="12">#REF!</definedName>
    <definedName name="SET_ET" localSheetId="12">#REF!</definedName>
    <definedName name="SET_PROT" localSheetId="12">#REF!,#REF!,#REF!,#REF!,#REF!,'Ком предл.'!P1_SET_PROT</definedName>
    <definedName name="SET_PRT" localSheetId="12">#REF!,#REF!,#REF!,#REF!,'Ком предл.'!P1_SET_PRT</definedName>
    <definedName name="SETcom" localSheetId="12">#REF!</definedName>
    <definedName name="Sheet2?prefix?">"H"</definedName>
    <definedName name="SoprMat_List21_1" localSheetId="12">#REF!</definedName>
    <definedName name="SP_OPT" localSheetId="12">#REF!</definedName>
    <definedName name="SP_ROZN" localSheetId="12">#REF!</definedName>
    <definedName name="SP_SC_1" localSheetId="12">#REF!</definedName>
    <definedName name="SP_SC_2" localSheetId="12">#REF!</definedName>
    <definedName name="SP_SC_3" localSheetId="12">#REF!</definedName>
    <definedName name="SP_SC_4" localSheetId="12">#REF!</definedName>
    <definedName name="SP_SC_5" localSheetId="12">#REF!</definedName>
    <definedName name="SPR_GES_ET" localSheetId="12">#REF!</definedName>
    <definedName name="SPR_GRES_ET" localSheetId="12">#REF!</definedName>
    <definedName name="SPR_OTH_ET" localSheetId="12">#REF!</definedName>
    <definedName name="SPR_PROT" localSheetId="12">#REF!,#REF!</definedName>
    <definedName name="SPR_SCOPE" localSheetId="12">#REF!</definedName>
    <definedName name="SPR_TES_ET" localSheetId="12">#REF!</definedName>
    <definedName name="sq" localSheetId="12">#REF!</definedName>
    <definedName name="T0?axis?ПРД?РЕГ" localSheetId="12">#REF!</definedName>
    <definedName name="T0?item_ext?РОСТ" localSheetId="12">#REF!</definedName>
    <definedName name="T0?L0.1" localSheetId="12">#REF!</definedName>
    <definedName name="T0?L0.2" localSheetId="12">#REF!</definedName>
    <definedName name="T0?L1" localSheetId="12">#REF!</definedName>
    <definedName name="T0?L10" localSheetId="12">#REF!</definedName>
    <definedName name="T0?L10.1" localSheetId="12">#REF!</definedName>
    <definedName name="T0?L10.2" localSheetId="12">#REF!</definedName>
    <definedName name="T0?L10.3" localSheetId="12">#REF!</definedName>
    <definedName name="T0?L10.4" localSheetId="12">#REF!</definedName>
    <definedName name="T0?L10.5" localSheetId="12">#REF!</definedName>
    <definedName name="T0?L11" localSheetId="12">#REF!</definedName>
    <definedName name="T0?L12" localSheetId="12">#REF!</definedName>
    <definedName name="T0?L13" localSheetId="12">#REF!</definedName>
    <definedName name="T0?L13.1" localSheetId="12">#REF!</definedName>
    <definedName name="T0?L13.2" localSheetId="12">#REF!</definedName>
    <definedName name="T0?L14" localSheetId="12">#REF!</definedName>
    <definedName name="T0?L14.1" localSheetId="12">#REF!</definedName>
    <definedName name="T0?L14.2" localSheetId="12">#REF!</definedName>
    <definedName name="T0?L15" localSheetId="12">#REF!</definedName>
    <definedName name="T0?L15.1" localSheetId="12">#REF!</definedName>
    <definedName name="T0?L15.2" localSheetId="12">#REF!</definedName>
    <definedName name="T0?L15.2.1" localSheetId="12">#REF!</definedName>
    <definedName name="T0?L15.2.2" localSheetId="12">#REF!</definedName>
    <definedName name="T0?L16" localSheetId="12">#REF!</definedName>
    <definedName name="T0?L17" localSheetId="12">#REF!</definedName>
    <definedName name="T0?L17.1" localSheetId="12">#REF!</definedName>
    <definedName name="T0?L18" localSheetId="12">#REF!</definedName>
    <definedName name="T0?L19" localSheetId="12">#REF!</definedName>
    <definedName name="T0?L2" localSheetId="12">#REF!</definedName>
    <definedName name="T0?L20" localSheetId="12">#REF!</definedName>
    <definedName name="T0?L21" localSheetId="12">#REF!</definedName>
    <definedName name="T0?L22" localSheetId="12">#REF!</definedName>
    <definedName name="T0?L22.1" localSheetId="12">#REF!</definedName>
    <definedName name="T0?L22.2" localSheetId="12">#REF!</definedName>
    <definedName name="T0?L23" localSheetId="12">#REF!</definedName>
    <definedName name="T0?L24" localSheetId="12">#REF!</definedName>
    <definedName name="T0?L24.1" localSheetId="12">#REF!</definedName>
    <definedName name="T0?L24.2" localSheetId="12">#REF!</definedName>
    <definedName name="T0?L25" localSheetId="12">#REF!</definedName>
    <definedName name="T0?L25.1" localSheetId="12">#REF!</definedName>
    <definedName name="T0?L25.1.1" localSheetId="12">#REF!</definedName>
    <definedName name="T0?L25.1.2" localSheetId="12">#REF!</definedName>
    <definedName name="T0?L25.2" localSheetId="12">#REF!</definedName>
    <definedName name="T0?L25.3" localSheetId="12">#REF!</definedName>
    <definedName name="T0?L26.1" localSheetId="12">#REF!</definedName>
    <definedName name="T0?L26.2" localSheetId="12">#REF!</definedName>
    <definedName name="T0?L27.1" localSheetId="12">#REF!</definedName>
    <definedName name="T0?L27.2" localSheetId="12">#REF!</definedName>
    <definedName name="T0?L3" localSheetId="12">#REF!</definedName>
    <definedName name="T0?L4" localSheetId="12">#REF!</definedName>
    <definedName name="T0?L5" localSheetId="12">#REF!</definedName>
    <definedName name="T0?L6" localSheetId="12">#REF!</definedName>
    <definedName name="T0?L7" localSheetId="12">#REF!</definedName>
    <definedName name="T0?L7.1" localSheetId="12">#REF!</definedName>
    <definedName name="T0?L7.1.2" localSheetId="12">#REF!</definedName>
    <definedName name="T0?L7.1.3" localSheetId="12">#REF!</definedName>
    <definedName name="T0?L7.2" localSheetId="12">#REF!</definedName>
    <definedName name="T0?L7.3" localSheetId="12">#REF!</definedName>
    <definedName name="T0?L7.4" localSheetId="12">#REF!</definedName>
    <definedName name="T0?L7.5" localSheetId="12">#REF!</definedName>
    <definedName name="T0?L7.6" localSheetId="12">#REF!</definedName>
    <definedName name="T0?L7.7" localSheetId="12">#REF!</definedName>
    <definedName name="T0?L7.7.1" localSheetId="12">#REF!</definedName>
    <definedName name="T0?L7.7.10" localSheetId="12">#REF!</definedName>
    <definedName name="T0?L7.7.11" localSheetId="12">#REF!</definedName>
    <definedName name="T0?L7.7.12" localSheetId="12">#REF!</definedName>
    <definedName name="T0?L7.7.2" localSheetId="12">#REF!</definedName>
    <definedName name="T0?L7.7.3" localSheetId="12">#REF!</definedName>
    <definedName name="T0?L7.7.4" localSheetId="12">#REF!</definedName>
    <definedName name="T0?L7.7.4.1" localSheetId="12">#REF!</definedName>
    <definedName name="T0?L7.7.4.3" localSheetId="12">#REF!</definedName>
    <definedName name="T0?L7.7.4.4" localSheetId="12">#REF!</definedName>
    <definedName name="T0?L7.7.4.5" localSheetId="12">#REF!</definedName>
    <definedName name="T0?L7.7.5" localSheetId="12">#REF!</definedName>
    <definedName name="T0?L7.7.6" localSheetId="12">#REF!</definedName>
    <definedName name="T0?L7.7.7" localSheetId="12">#REF!</definedName>
    <definedName name="T0?L7.7.8" localSheetId="12">#REF!</definedName>
    <definedName name="T0?L7.7.9" localSheetId="12">#REF!</definedName>
    <definedName name="T0?L8" localSheetId="12">#REF!</definedName>
    <definedName name="T0?L8.1" localSheetId="12">#REF!</definedName>
    <definedName name="T0?L8.2" localSheetId="12">#REF!</definedName>
    <definedName name="T0?L8.3" localSheetId="12">#REF!</definedName>
    <definedName name="T0?L8.4" localSheetId="12">#REF!</definedName>
    <definedName name="T0?L8.5" localSheetId="12">#REF!</definedName>
    <definedName name="T0?L8.6" localSheetId="12">#REF!</definedName>
    <definedName name="T0?L9" localSheetId="12">#REF!</definedName>
    <definedName name="T0?L9.1" localSheetId="12">#REF!</definedName>
    <definedName name="T0?L9.2" localSheetId="12">#REF!</definedName>
    <definedName name="T0?L9.3" localSheetId="12">#REF!</definedName>
    <definedName name="T0?L9.3.1" localSheetId="12">#REF!</definedName>
    <definedName name="T0?L9.3.2" localSheetId="12">#REF!</definedName>
    <definedName name="T0?Name" localSheetId="12">#REF!</definedName>
    <definedName name="T0?Table" localSheetId="12">#REF!</definedName>
    <definedName name="T0?Title" localSheetId="12">#REF!</definedName>
    <definedName name="T0?unit?МКВТЧ" localSheetId="12">#REF!</definedName>
    <definedName name="T0?unit?РУБ.МВТ.МЕС" localSheetId="12">#REF!</definedName>
    <definedName name="T0?unit?РУБ.ТКВТЧ" localSheetId="12">#REF!</definedName>
    <definedName name="T0?unit?ТГКАЛ" localSheetId="12">#REF!</definedName>
    <definedName name="T1?axis?ПРД?РЕГ" localSheetId="12">#REF!</definedName>
    <definedName name="T1?item_ext?РОСТ" localSheetId="12">#REF!</definedName>
    <definedName name="T1?L1" localSheetId="12">#REF!</definedName>
    <definedName name="T1?L2" localSheetId="12">#REF!</definedName>
    <definedName name="T1?L3" localSheetId="12">#REF!</definedName>
    <definedName name="T1?L4" localSheetId="12">#REF!</definedName>
    <definedName name="T1?L5" localSheetId="12">#REF!</definedName>
    <definedName name="T1?L6" localSheetId="12">#REF!</definedName>
    <definedName name="T1?L7" localSheetId="12">#REF!</definedName>
    <definedName name="T1?L7.1" localSheetId="12">#REF!</definedName>
    <definedName name="T1?L7.2" localSheetId="12">#REF!</definedName>
    <definedName name="T1?L7.3" localSheetId="12">#REF!</definedName>
    <definedName name="T1?L7.4" localSheetId="12">#REF!</definedName>
    <definedName name="T1?L8" localSheetId="12">#REF!</definedName>
    <definedName name="T1?L8.1" localSheetId="12">#REF!</definedName>
    <definedName name="T1?L8.2" localSheetId="12">#REF!</definedName>
    <definedName name="T1?L8.3" localSheetId="12">#REF!</definedName>
    <definedName name="T1?L9" localSheetId="12">#REF!</definedName>
    <definedName name="T1?Name" localSheetId="12">#REF!</definedName>
    <definedName name="T1?Table" localSheetId="12">#REF!</definedName>
    <definedName name="T1?Title" localSheetId="12">#REF!</definedName>
    <definedName name="T1?unit?МВТ" localSheetId="12">#REF!</definedName>
    <definedName name="T1?unit?ПРЦ" localSheetId="12">#REF!</definedName>
    <definedName name="T1_" localSheetId="12">#REF!</definedName>
    <definedName name="T1_Protect" localSheetId="12">P15_T1_Protect,P16_T1_Protect,P17_T1_Protect,P18_T1_Protect,'Ком предл.'!P19_T1_Protect</definedName>
    <definedName name="T10?axis?ПРД?РЕГ" localSheetId="12">#REF!</definedName>
    <definedName name="T10?item_ext?РОСТ" localSheetId="12">#REF!</definedName>
    <definedName name="T10?L1" localSheetId="12">#REF!</definedName>
    <definedName name="T10?L1.1" localSheetId="12">#REF!</definedName>
    <definedName name="T10?L1.1.x" localSheetId="12">#REF!</definedName>
    <definedName name="T10?L1.2" localSheetId="12">#REF!</definedName>
    <definedName name="T10?L1.2.x" localSheetId="12">#REF!</definedName>
    <definedName name="T10?L2" localSheetId="12">#REF!</definedName>
    <definedName name="T10?L2.x" localSheetId="12">#REF!</definedName>
    <definedName name="T10?L3" localSheetId="12">#REF!</definedName>
    <definedName name="T10?L3.x" localSheetId="12">#REF!</definedName>
    <definedName name="T10?L4" localSheetId="12">#REF!</definedName>
    <definedName name="T10?Name" localSheetId="12">#REF!</definedName>
    <definedName name="T10?Table" localSheetId="12">#REF!</definedName>
    <definedName name="T10?Title" localSheetId="12">#REF!</definedName>
    <definedName name="T10?unit?ПРЦ" localSheetId="12">#REF!</definedName>
    <definedName name="T10?unit?ТРУБ" localSheetId="12">#REF!</definedName>
    <definedName name="T10_Copy1" localSheetId="12">#REF!</definedName>
    <definedName name="T10_Copy2" localSheetId="12">#REF!</definedName>
    <definedName name="T10_Copy3" localSheetId="12">#REF!</definedName>
    <definedName name="T10_Copy4" localSheetId="12">#REF!</definedName>
    <definedName name="T10_OPT" localSheetId="12">#REF!</definedName>
    <definedName name="T10_ROZN" localSheetId="12">#REF!</definedName>
    <definedName name="T11?Data">#N/A</definedName>
    <definedName name="T12?axis?R?ДОГОВОР" localSheetId="12">#REF!</definedName>
    <definedName name="T12?axis?R?ДОГОВОР?" localSheetId="12">#REF!</definedName>
    <definedName name="T12?axis?ПРД?РЕГ" localSheetId="12">#REF!</definedName>
    <definedName name="T12?item_ext?РОСТ" localSheetId="12">#REF!</definedName>
    <definedName name="T12?L1" localSheetId="12">#REF!</definedName>
    <definedName name="T12?L1.1" localSheetId="12">#REF!</definedName>
    <definedName name="T12?L2" localSheetId="12">#REF!</definedName>
    <definedName name="T12?L2.1" localSheetId="12">#REF!</definedName>
    <definedName name="T12?L3" localSheetId="12">#REF!</definedName>
    <definedName name="T12?Name" localSheetId="12">#REF!</definedName>
    <definedName name="T12?Table" localSheetId="12">#REF!</definedName>
    <definedName name="T12?Title" localSheetId="12">#REF!</definedName>
    <definedName name="T12?unit?ПРЦ" localSheetId="12">#REF!</definedName>
    <definedName name="T12_Copy" localSheetId="12">#REF!</definedName>
    <definedName name="T13?axis?ПРД?РЕГ" localSheetId="12">#REF!</definedName>
    <definedName name="T13?item_ext?РОСТ" localSheetId="12">#REF!</definedName>
    <definedName name="T13?L1.1" localSheetId="12">#REF!</definedName>
    <definedName name="T13?L1.2" localSheetId="12">#REF!</definedName>
    <definedName name="T13?L2" localSheetId="12">#REF!</definedName>
    <definedName name="T13?L2.1" localSheetId="12">#REF!</definedName>
    <definedName name="T13?L2.1.1" localSheetId="12">#REF!</definedName>
    <definedName name="T13?L2.1.2" localSheetId="12">#REF!</definedName>
    <definedName name="T13?L2.2" localSheetId="12">#REF!</definedName>
    <definedName name="T13?L2.2.1" localSheetId="12">#REF!</definedName>
    <definedName name="T13?L2.2.2" localSheetId="12">#REF!</definedName>
    <definedName name="T13?L3" localSheetId="12">#REF!</definedName>
    <definedName name="T13?L4" localSheetId="12">#REF!</definedName>
    <definedName name="T13?Name" localSheetId="12">#REF!</definedName>
    <definedName name="T13?Table" localSheetId="12">#REF!</definedName>
    <definedName name="T13?Title" localSheetId="12">#REF!</definedName>
    <definedName name="T13?unit?МКВТЧ" localSheetId="12">#REF!</definedName>
    <definedName name="T13?unit?ПРЦ" localSheetId="12">#REF!</definedName>
    <definedName name="T13?unit?ТГКАЛ" localSheetId="12">#REF!</definedName>
    <definedName name="T14?axis?R?ВРАС" localSheetId="12">#REF!</definedName>
    <definedName name="T14?axis?R?ВРАС?" localSheetId="12">#REF!</definedName>
    <definedName name="T14?axis?ПРД?РЕГ" localSheetId="12">#REF!</definedName>
    <definedName name="T14?item_ext?РОСТ" localSheetId="12">#REF!</definedName>
    <definedName name="T14?L2" localSheetId="12">#REF!</definedName>
    <definedName name="T14?Name" localSheetId="12">#REF!</definedName>
    <definedName name="T14?Table" localSheetId="12">#REF!</definedName>
    <definedName name="T14?Title" localSheetId="12">#REF!</definedName>
    <definedName name="T14_Copy" localSheetId="12">#REF!</definedName>
    <definedName name="T15?Columns" localSheetId="12">#REF!</definedName>
    <definedName name="T15?ItemComments" localSheetId="12">#REF!</definedName>
    <definedName name="T15?Items" localSheetId="12">#REF!</definedName>
    <definedName name="T15?Scope" localSheetId="12">#REF!</definedName>
    <definedName name="T15?ВРАС" localSheetId="12">#REF!</definedName>
    <definedName name="T16?axis?R?ОРГ" localSheetId="12">#REF!</definedName>
    <definedName name="T16?axis?R?ОРГ?" localSheetId="12">#REF!</definedName>
    <definedName name="T16?axis?ПРД?РЕГ" localSheetId="12">#REF!</definedName>
    <definedName name="T16?Data" localSheetId="12">#REF!</definedName>
    <definedName name="T16?item_ext?РОСТ" localSheetId="12">#REF!</definedName>
    <definedName name="T16?L2" localSheetId="12">#REF!</definedName>
    <definedName name="T16?Name" localSheetId="12">#REF!</definedName>
    <definedName name="T16?Table" localSheetId="12">#REF!</definedName>
    <definedName name="T16?Title" localSheetId="12">#REF!</definedName>
    <definedName name="T16?unit?ПРЦ" localSheetId="12">#REF!</definedName>
    <definedName name="T16?unit?ТРУБ" localSheetId="12">#REF!</definedName>
    <definedName name="T16_Copy" localSheetId="12">#REF!</definedName>
    <definedName name="T16_Copy2" localSheetId="12">#REF!</definedName>
    <definedName name="T17.1?axis?C?НП?" localSheetId="12">#REF!</definedName>
    <definedName name="T17.1?axis?ПРД?БАЗ" localSheetId="12">#REF!</definedName>
    <definedName name="T17.1?axis?ПРД?РЕГ" localSheetId="12">#REF!</definedName>
    <definedName name="T17.1?Name" localSheetId="12">#REF!</definedName>
    <definedName name="T17.1?Table" localSheetId="12">#REF!</definedName>
    <definedName name="T17.1?Title" localSheetId="12">#REF!</definedName>
    <definedName name="T17.1_Copy" localSheetId="12">#REF!</definedName>
    <definedName name="T17?axis?ПРД?РЕГ" localSheetId="12">#REF!</definedName>
    <definedName name="T17?Data" localSheetId="12">#REF!</definedName>
    <definedName name="T17?item_ext?РОСТ" localSheetId="12">#REF!</definedName>
    <definedName name="T17?L1" localSheetId="12">#REF!</definedName>
    <definedName name="T17?L2" localSheetId="12">#REF!</definedName>
    <definedName name="T17?L3" localSheetId="12">#REF!</definedName>
    <definedName name="T17?L4" localSheetId="12">#REF!</definedName>
    <definedName name="T17?L5" localSheetId="12">#REF!</definedName>
    <definedName name="T17?L6" localSheetId="12">#REF!</definedName>
    <definedName name="T17?L7" localSheetId="12">#REF!</definedName>
    <definedName name="T17?L8" localSheetId="12">#REF!</definedName>
    <definedName name="T17?Name" localSheetId="12">#REF!</definedName>
    <definedName name="T17?Table" localSheetId="12">#REF!</definedName>
    <definedName name="T17?Title" localSheetId="12">#REF!</definedName>
    <definedName name="T17?unit?ТРУБ" localSheetId="12">#REF!</definedName>
    <definedName name="T17?unit?ЧДН" localSheetId="12">#REF!</definedName>
    <definedName name="T17?unit?ЧЕЛ" localSheetId="12">#REF!</definedName>
    <definedName name="T17_Protection" localSheetId="12">P2_T17_Protection,P3_T17_Protection,P4_T17_Protection,P5_T17_Protection,P6_T17_Protection</definedName>
    <definedName name="T18.1?Data" localSheetId="12">P1_T18.1?Data,P2_T18.1?Data</definedName>
    <definedName name="T19.1.1?Data" localSheetId="12">P1_T19.1.1?Data,P2_T19.1.1?Data</definedName>
    <definedName name="T19.1.2?Data" localSheetId="12">P1_T19.1.2?Data,P2_T19.1.2?Data</definedName>
    <definedName name="T19.2?Data" localSheetId="12">P1_T19.2?Data,P2_T19.2?Data</definedName>
    <definedName name="T2.1?Data">#N/A</definedName>
    <definedName name="T2.1?Protection" localSheetId="12">'Ком предл.'!P6_T2.1?Protection</definedName>
    <definedName name="T2.1_Protect" localSheetId="12">P4_T2.1_Protect,P5_T2.1_Protect,P6_T2.1_Protect,P7_T2.1_Protect</definedName>
    <definedName name="T2?axis?ПРД?РЕГ" localSheetId="12">#REF!</definedName>
    <definedName name="T2?Data" localSheetId="12">#REF!</definedName>
    <definedName name="T2?item_ext?РОСТ" localSheetId="12">#REF!</definedName>
    <definedName name="T2?L1" localSheetId="12">#REF!</definedName>
    <definedName name="T2?L2" localSheetId="12">#REF!</definedName>
    <definedName name="T2?L2.1" localSheetId="12">#REF!</definedName>
    <definedName name="T2?L2.1.ПРЦ" localSheetId="12">#REF!</definedName>
    <definedName name="T2?L2.2" localSheetId="12">#REF!</definedName>
    <definedName name="T2?L2.2.КВТЧ" localSheetId="12">#REF!</definedName>
    <definedName name="T2?L3" localSheetId="12">#REF!</definedName>
    <definedName name="T2?L4" localSheetId="12">#REF!</definedName>
    <definedName name="T2?L4.ПРЦ" localSheetId="12">#REF!</definedName>
    <definedName name="T2?L5" localSheetId="12">#REF!</definedName>
    <definedName name="T2?L6" localSheetId="12">#REF!</definedName>
    <definedName name="T2?L7" localSheetId="12">#REF!</definedName>
    <definedName name="T2?L7.ПРЦ" localSheetId="12">#REF!</definedName>
    <definedName name="T2?L8" localSheetId="12">#REF!</definedName>
    <definedName name="T2?Name" localSheetId="12">#REF!</definedName>
    <definedName name="T2?Protection" localSheetId="12">P1_T2?Protection,P2_T2?Protection</definedName>
    <definedName name="T2?Table" localSheetId="12">#REF!</definedName>
    <definedName name="T2?Title" localSheetId="12">#REF!</definedName>
    <definedName name="T2?unit?КВТЧ.ГКАЛ" localSheetId="12">#REF!</definedName>
    <definedName name="T2_" localSheetId="12">#REF!</definedName>
    <definedName name="T2_1_Protect" localSheetId="12">P4_T2_1_Protect,P5_T2_1_Protect,P6_T2_1_Protect,P7_T2_1_Protect</definedName>
    <definedName name="T2_2_Protect" localSheetId="12">P4_T2_2_Protect,P5_T2_2_Protect,P6_T2_2_Protect,P7_T2_2_Protect</definedName>
    <definedName name="T2_DiapProt" localSheetId="12">P1_T2_DiapProt,P2_T2_DiapProt</definedName>
    <definedName name="T2_Protect" localSheetId="12">P4_T2_Protect,P5_T2_Protect,P6_T2_Protect</definedName>
    <definedName name="T21.2.1?Data" localSheetId="12">P1_T21.2.1?Data,P2_T21.2.1?Data</definedName>
    <definedName name="T21.2.2?Data" localSheetId="12">P1_T21.2.2?Data,P2_T21.2.2?Data</definedName>
    <definedName name="T21.3?Columns" localSheetId="12">#REF!</definedName>
    <definedName name="T21.3?ItemComments" localSheetId="12">#REF!</definedName>
    <definedName name="T21.3?Items" localSheetId="12">#REF!</definedName>
    <definedName name="T21.3?Scope" localSheetId="12">#REF!</definedName>
    <definedName name="T21.4?Data" localSheetId="12">P1_T21.4?Data,P2_T21.4?Data</definedName>
    <definedName name="T21?axis?R?ДОГОВОР" localSheetId="12">#REF!</definedName>
    <definedName name="T21?axis?R?ДОГОВОР?" localSheetId="12">#REF!</definedName>
    <definedName name="T21?axis?ПРД?РЕГ" localSheetId="12">#REF!</definedName>
    <definedName name="T21?item_ext?РОСТ" localSheetId="12">#REF!</definedName>
    <definedName name="T21?L1" localSheetId="12">#REF!</definedName>
    <definedName name="T21?L2" localSheetId="12">#REF!</definedName>
    <definedName name="T21?L3" localSheetId="12">#REF!</definedName>
    <definedName name="T21?L4" localSheetId="12">#REF!</definedName>
    <definedName name="T21?L4.x" localSheetId="12">#REF!</definedName>
    <definedName name="T21?L5" localSheetId="12">#REF!</definedName>
    <definedName name="T21?L6" localSheetId="12">#REF!</definedName>
    <definedName name="T21?L7" localSheetId="12">#REF!</definedName>
    <definedName name="T21?Name" localSheetId="12">#REF!</definedName>
    <definedName name="T21?Table" localSheetId="12">#REF!</definedName>
    <definedName name="T21?Title" localSheetId="12">#REF!</definedName>
    <definedName name="T21?unit?ПРЦ" localSheetId="12">#REF!</definedName>
    <definedName name="T21?unit?ТРУБ" localSheetId="12">#REF!</definedName>
    <definedName name="T21_Copy" localSheetId="12">#REF!</definedName>
    <definedName name="T21_Protection" localSheetId="12">P2_T21_Protection,P3_T21_Protection</definedName>
    <definedName name="T24?axis?ПРД?РЕГ" localSheetId="12">#REF!</definedName>
    <definedName name="T24?item_ext?РОСТ" localSheetId="12">#REF!</definedName>
    <definedName name="T24?L1" localSheetId="12">#REF!</definedName>
    <definedName name="T24?L1.x" localSheetId="12">#REF!</definedName>
    <definedName name="T24?L2" localSheetId="12">#REF!</definedName>
    <definedName name="T24?L2.1" localSheetId="12">#REF!</definedName>
    <definedName name="T24?L2.2" localSheetId="12">#REF!</definedName>
    <definedName name="T24?L3" localSheetId="12">#REF!</definedName>
    <definedName name="T24?L4" localSheetId="12">#REF!</definedName>
    <definedName name="T24?L5" localSheetId="12">#REF!</definedName>
    <definedName name="T24?L5.x" localSheetId="12">#REF!</definedName>
    <definedName name="T24?L6" localSheetId="12">#REF!</definedName>
    <definedName name="T24?Name" localSheetId="12">#REF!</definedName>
    <definedName name="T24?Table" localSheetId="12">#REF!</definedName>
    <definedName name="T24?Title" localSheetId="12">#REF!</definedName>
    <definedName name="T24_Copy1" localSheetId="12">#REF!</definedName>
    <definedName name="T24_Copy2" localSheetId="12">#REF!</definedName>
    <definedName name="T25?axis?R?ВРАС" localSheetId="12">#REF!</definedName>
    <definedName name="T25?axis?R?ВРАС?" localSheetId="12">#REF!</definedName>
    <definedName name="T25?axis?ПРД?БАЗ" localSheetId="12">#REF!</definedName>
    <definedName name="T25?axis?ПРД?ПРЕД" localSheetId="12">#REF!</definedName>
    <definedName name="T25?axis?ПРД?РЕГ" localSheetId="12">#REF!</definedName>
    <definedName name="T25?Data" localSheetId="12">#REF!</definedName>
    <definedName name="T25?item_ext?РОСТ" localSheetId="12">#REF!</definedName>
    <definedName name="T25?item_ext?РОСТ2" localSheetId="12">#REF!</definedName>
    <definedName name="T25?L1.2" localSheetId="12">#REF!</definedName>
    <definedName name="T25?L2" localSheetId="12">#REF!</definedName>
    <definedName name="T25?L2.1" localSheetId="12">#REF!</definedName>
    <definedName name="T25?L2.1.1" localSheetId="12">#REF!</definedName>
    <definedName name="T25?L2.1.2" localSheetId="12">#REF!</definedName>
    <definedName name="T25?L2.2" localSheetId="12">#REF!</definedName>
    <definedName name="T25?L2.2.1" localSheetId="12">#REF!</definedName>
    <definedName name="T25?L2.2.2" localSheetId="12">#REF!</definedName>
    <definedName name="T25?L2.2.3" localSheetId="12">#REF!</definedName>
    <definedName name="T25?L2.2.4" localSheetId="12">#REF!</definedName>
    <definedName name="T25?Name" localSheetId="12">#REF!</definedName>
    <definedName name="T25?Table" localSheetId="12">#REF!</definedName>
    <definedName name="T25?Title" localSheetId="12">#REF!</definedName>
    <definedName name="T25?unit?ПРЦ" localSheetId="12">#REF!</definedName>
    <definedName name="T25_Copy1" localSheetId="12">#REF!</definedName>
    <definedName name="T25_Copy2" localSheetId="12">#REF!</definedName>
    <definedName name="T25_Copy3" localSheetId="12">#REF!</definedName>
    <definedName name="T25_Copy4" localSheetId="12">#REF!</definedName>
    <definedName name="T25_protection" localSheetId="12">P1_T25_protection,P2_T25_protection</definedName>
    <definedName name="T27?axis?ПРД?РЕГ" localSheetId="12">#REF!</definedName>
    <definedName name="T27?Data" localSheetId="12">#REF!</definedName>
    <definedName name="T27?item_ext?РОСТ" localSheetId="12">#REF!</definedName>
    <definedName name="T27?L1" localSheetId="12">#REF!</definedName>
    <definedName name="T27?L2" localSheetId="12">#REF!</definedName>
    <definedName name="T27?L3" localSheetId="12">#REF!</definedName>
    <definedName name="T27?L4" localSheetId="12">#REF!</definedName>
    <definedName name="T27?L5" localSheetId="12">#REF!</definedName>
    <definedName name="T27?L6" localSheetId="12">#REF!</definedName>
    <definedName name="T27?Name" localSheetId="12">#REF!</definedName>
    <definedName name="T27?Table" localSheetId="12">#REF!</definedName>
    <definedName name="T27?Title" localSheetId="12">#REF!</definedName>
    <definedName name="T28.3?unit?РУБ.ГКАЛ" localSheetId="12">P1_T28.3?unit?РУБ.ГКАЛ,P2_T28.3?unit?РУБ.ГКАЛ</definedName>
    <definedName name="T28?axis?R?ПЭ" localSheetId="12">P2_T28?axis?R?ПЭ,P3_T28?axis?R?ПЭ,P4_T28?axis?R?ПЭ,P5_T28?axis?R?ПЭ,P6_T28?axis?R?ПЭ</definedName>
    <definedName name="T28?axis?R?ПЭ?" localSheetId="12">P2_T28?axis?R?ПЭ?,P3_T28?axis?R?ПЭ?,P4_T28?axis?R?ПЭ?,P5_T28?axis?R?ПЭ?,P6_T28?axis?R?ПЭ?</definedName>
    <definedName name="T28_Protection" localSheetId="12">P9_T28_Protection,P10_T28_Protection,P11_T28_Protection,'Ком предл.'!P12_T28_Protection</definedName>
    <definedName name="T29?item_ext?1СТ" localSheetId="12">P1_T29?item_ext?1СТ</definedName>
    <definedName name="T29?item_ext?2СТ.М" localSheetId="12">P1_T29?item_ext?2СТ.М</definedName>
    <definedName name="T29?item_ext?2СТ.Э" localSheetId="12">P1_T29?item_ext?2СТ.Э</definedName>
    <definedName name="T29?L10" localSheetId="12">P1_T29?L10</definedName>
    <definedName name="T3?axis?ПРД?РЕГ" localSheetId="12">#REF!</definedName>
    <definedName name="T3?Data" localSheetId="12">#REF!</definedName>
    <definedName name="T3?item_ext?РОСТ" localSheetId="12">#REF!</definedName>
    <definedName name="T3?L1" localSheetId="12">#REF!</definedName>
    <definedName name="T3?L1.1" localSheetId="12">#REF!</definedName>
    <definedName name="T3?L1.4.1" localSheetId="17">#REF!</definedName>
    <definedName name="T3?L1.4.1" localSheetId="12">#REF!</definedName>
    <definedName name="T3?L1.5.1" localSheetId="17">#REF!</definedName>
    <definedName name="T3?L1.5.1" localSheetId="12">#REF!</definedName>
    <definedName name="T3?L10" localSheetId="12">#REF!</definedName>
    <definedName name="T3?L11" localSheetId="12">#REF!</definedName>
    <definedName name="T3?L12" localSheetId="12">#REF!</definedName>
    <definedName name="T3?L2" localSheetId="12">#REF!</definedName>
    <definedName name="T3?L2.1" localSheetId="12">#REF!</definedName>
    <definedName name="T3?L3" localSheetId="12">#REF!</definedName>
    <definedName name="T3?L3.1" localSheetId="12">#REF!</definedName>
    <definedName name="T3?L4" localSheetId="12">#REF!</definedName>
    <definedName name="T3?L5" localSheetId="12">#REF!</definedName>
    <definedName name="T3?L6" localSheetId="12">#REF!</definedName>
    <definedName name="T3?L7" localSheetId="12">#REF!</definedName>
    <definedName name="T3?L8" localSheetId="12">#REF!</definedName>
    <definedName name="T3?L9" localSheetId="12">#REF!</definedName>
    <definedName name="T3?Name" localSheetId="12">#REF!</definedName>
    <definedName name="T3?Table" localSheetId="12">#REF!</definedName>
    <definedName name="T3?Title" localSheetId="12">#REF!</definedName>
    <definedName name="T3?unit?Г.КВТЧ" localSheetId="12">#REF!</definedName>
    <definedName name="T3?unit?МКВТЧ" localSheetId="12">#REF!</definedName>
    <definedName name="T4.1?axis?ПРД?БАЗ" localSheetId="12">#REF!</definedName>
    <definedName name="T4.1?axis?ПРД?ПРЕД" localSheetId="12">#REF!</definedName>
    <definedName name="T4.1?axis?ПРД?ПРЕД2" localSheetId="12">#REF!</definedName>
    <definedName name="T4.1?axis?ПРД?РЕГ" localSheetId="12">#REF!</definedName>
    <definedName name="T4.1?item_ext?СРПРЕД3" localSheetId="12">#REF!</definedName>
    <definedName name="T4.1?L1" localSheetId="12">#REF!</definedName>
    <definedName name="T4.1?L1.1" localSheetId="12">#REF!</definedName>
    <definedName name="T4.1?L1.2" localSheetId="12">#REF!</definedName>
    <definedName name="T4.1?L2" localSheetId="12">#REF!</definedName>
    <definedName name="T4.1?L3.1" localSheetId="12">#REF!</definedName>
    <definedName name="T4.1?Name" localSheetId="12">#REF!</definedName>
    <definedName name="T4.1?Table" localSheetId="12">#REF!</definedName>
    <definedName name="T4.1?Title" localSheetId="12">#REF!</definedName>
    <definedName name="T4.1?unit?ПРЦ" localSheetId="12">#REF!</definedName>
    <definedName name="T4.1?unit?ТТУТ" localSheetId="12">#REF!</definedName>
    <definedName name="T4?axis?ПРД?РЕГ" localSheetId="12">#REF!</definedName>
    <definedName name="T4?item_ext?РОСТ" localSheetId="12">#REF!</definedName>
    <definedName name="T4?L1" localSheetId="12">#REF!</definedName>
    <definedName name="T4?L1.1" localSheetId="12">#REF!</definedName>
    <definedName name="T4?L1.2" localSheetId="12">#REF!</definedName>
    <definedName name="T4?L10" localSheetId="12">#REF!</definedName>
    <definedName name="T4?L10.1" localSheetId="12">#REF!</definedName>
    <definedName name="T4?L10.2" localSheetId="12">#REF!</definedName>
    <definedName name="T4?L11.1" localSheetId="12">#REF!</definedName>
    <definedName name="T4?L12" localSheetId="12">#REF!</definedName>
    <definedName name="T4?L13" localSheetId="12">#REF!</definedName>
    <definedName name="T4?L14" localSheetId="12">#REF!</definedName>
    <definedName name="T4?L2" localSheetId="12">#REF!</definedName>
    <definedName name="T4?L2.1" localSheetId="12">#REF!</definedName>
    <definedName name="T4?L3.1" localSheetId="12">#REF!</definedName>
    <definedName name="T4?L4.1" localSheetId="12">#REF!</definedName>
    <definedName name="T4?L5.1" localSheetId="12">#REF!</definedName>
    <definedName name="T4?L6" localSheetId="12">#REF!</definedName>
    <definedName name="T4?L6.1" localSheetId="12">#REF!</definedName>
    <definedName name="T4?L6.2" localSheetId="12">#REF!</definedName>
    <definedName name="T4?L7.1" localSheetId="12">#REF!</definedName>
    <definedName name="T4?L8" localSheetId="12">#REF!</definedName>
    <definedName name="T4?L8.1" localSheetId="12">#REF!</definedName>
    <definedName name="T4?L8.2" localSheetId="12">#REF!</definedName>
    <definedName name="T4?L9" localSheetId="12">#REF!</definedName>
    <definedName name="T4?L9.1" localSheetId="12">#REF!</definedName>
    <definedName name="T4?L9.2" localSheetId="12">#REF!</definedName>
    <definedName name="T4?Name" localSheetId="12">#REF!</definedName>
    <definedName name="T4?Table" localSheetId="12">#REF!</definedName>
    <definedName name="T4?Title" localSheetId="12">#REF!</definedName>
    <definedName name="T4?unit?МКВТЧ" localSheetId="12">#REF!</definedName>
    <definedName name="T4?unit?ММКБ" localSheetId="12">#REF!</definedName>
    <definedName name="T4?unit?РУБ.ТКВТЧ" localSheetId="12">#REF!</definedName>
    <definedName name="T4?unit?РУБ.ТУТ" localSheetId="12">#REF!</definedName>
    <definedName name="T4?unit?ТТУТ" localSheetId="12">#REF!</definedName>
    <definedName name="T5?axis?ПРД?РЕГ" localSheetId="12">#REF!</definedName>
    <definedName name="T5?axis?ПРД?РЕГ.КВ1" localSheetId="12">#REF!</definedName>
    <definedName name="T5?axis?ПРД?РЕГ.КВ2" localSheetId="12">#REF!</definedName>
    <definedName name="T5?axis?ПРД?РЕГ.КВ3" localSheetId="12">#REF!</definedName>
    <definedName name="T5?axis?ПРД?РЕГ.КВ4" localSheetId="12">#REF!</definedName>
    <definedName name="T5?item_ext?РОСТ" localSheetId="12">#REF!</definedName>
    <definedName name="T5?L1" localSheetId="12">#REF!</definedName>
    <definedName name="T5?L1.1" localSheetId="12">#REF!</definedName>
    <definedName name="T5?L2" localSheetId="12">#REF!</definedName>
    <definedName name="T5?L2.1" localSheetId="12">#REF!</definedName>
    <definedName name="T5?L3" localSheetId="12">#REF!</definedName>
    <definedName name="T5?L3.1" localSheetId="12">#REF!</definedName>
    <definedName name="T5?L4" localSheetId="12">#REF!</definedName>
    <definedName name="T5?L4.1" localSheetId="12">#REF!</definedName>
    <definedName name="T5?L5.1" localSheetId="12">#REF!</definedName>
    <definedName name="T5?L6" localSheetId="12">#REF!</definedName>
    <definedName name="T5?L6.1" localSheetId="12">#REF!</definedName>
    <definedName name="T5?Name" localSheetId="12">#REF!</definedName>
    <definedName name="T5?Table" localSheetId="12">#REF!</definedName>
    <definedName name="T5?Title" localSheetId="12">#REF!</definedName>
    <definedName name="T6.1?axis?ПРД?БАЗ.КВ1" localSheetId="12">#REF!</definedName>
    <definedName name="T6.1?axis?ПРД?БАЗ.КВ2" localSheetId="12">#REF!</definedName>
    <definedName name="T6.1?axis?ПРД?БАЗ.КВ3" localSheetId="12">#REF!</definedName>
    <definedName name="T6.1?axis?ПРД?БАЗ.КВ4" localSheetId="12">#REF!</definedName>
    <definedName name="T6.1?axis?ПРД?РЕГ" localSheetId="12">#REF!</definedName>
    <definedName name="T6.1?axis?ПРД?РЕГ.КВ1" localSheetId="12">#REF!</definedName>
    <definedName name="T6.1?axis?ПРД?РЕГ.КВ2" localSheetId="12">#REF!</definedName>
    <definedName name="T6.1?axis?ПРД?РЕГ.КВ3" localSheetId="12">#REF!</definedName>
    <definedName name="T6.1?axis?ПРД?РЕГ.КВ4" localSheetId="12">#REF!</definedName>
    <definedName name="T6.1?Data" localSheetId="12">#REF!</definedName>
    <definedName name="T6.1?L1" localSheetId="12">#REF!</definedName>
    <definedName name="T6.1?L2" localSheetId="12">#REF!</definedName>
    <definedName name="T6.1?Name" localSheetId="12">#REF!</definedName>
    <definedName name="T6.1?Table" localSheetId="12">#REF!</definedName>
    <definedName name="T6.1?Title" localSheetId="12">#REF!</definedName>
    <definedName name="T6.1?unit?ПРЦ" localSheetId="12">#REF!</definedName>
    <definedName name="T6.1?unit?РУБ" localSheetId="12">#REF!</definedName>
    <definedName name="T6?axis?ПРД?РЕГ" localSheetId="12">#REF!</definedName>
    <definedName name="T6?item_ext?РОСТ" localSheetId="12">#REF!</definedName>
    <definedName name="T6?L1.1" localSheetId="12">#REF!</definedName>
    <definedName name="T6?L1.1.1" localSheetId="12">#REF!</definedName>
    <definedName name="T6?L1.2" localSheetId="12">#REF!</definedName>
    <definedName name="T6?L1.2.1" localSheetId="12">#REF!</definedName>
    <definedName name="T6?L1.3" localSheetId="12">#REF!</definedName>
    <definedName name="T6?L1.3.1" localSheetId="12">#REF!</definedName>
    <definedName name="T6?L1.4" localSheetId="12">#REF!</definedName>
    <definedName name="T6?L1.5" localSheetId="12">#REF!</definedName>
    <definedName name="T6?L2.1" localSheetId="12">#REF!</definedName>
    <definedName name="T6?L2.10" localSheetId="12">#REF!</definedName>
    <definedName name="T6?L2.2" localSheetId="12">#REF!</definedName>
    <definedName name="T6?L2.3" localSheetId="12">#REF!</definedName>
    <definedName name="T6?L2.4" localSheetId="12">#REF!</definedName>
    <definedName name="T6?L2.5.1" localSheetId="12">#REF!</definedName>
    <definedName name="T6?L2.5.2" localSheetId="12">#REF!</definedName>
    <definedName name="T6?L2.6.1" localSheetId="12">#REF!</definedName>
    <definedName name="T6?L2.6.2" localSheetId="12">#REF!</definedName>
    <definedName name="T6?L2.7.1" localSheetId="12">#REF!</definedName>
    <definedName name="T6?L2.7.2" localSheetId="12">#REF!</definedName>
    <definedName name="T6?L2.8.1" localSheetId="12">#REF!</definedName>
    <definedName name="T6?L2.8.2" localSheetId="12">#REF!</definedName>
    <definedName name="T6?L2.9.1" localSheetId="12">#REF!</definedName>
    <definedName name="T6?L2.9.2" localSheetId="12">#REF!</definedName>
    <definedName name="T6?L3.1" localSheetId="12">#REF!</definedName>
    <definedName name="T6?L3.2" localSheetId="12">#REF!</definedName>
    <definedName name="T6?L3.3" localSheetId="12">#REF!</definedName>
    <definedName name="T6?L4.1" localSheetId="12">#REF!</definedName>
    <definedName name="T6?L4.2" localSheetId="12">#REF!</definedName>
    <definedName name="T6?L4.3" localSheetId="12">#REF!</definedName>
    <definedName name="T6?L4.4" localSheetId="12">#REF!</definedName>
    <definedName name="T6?L4.5" localSheetId="12">#REF!</definedName>
    <definedName name="T6?L4.6" localSheetId="12">#REF!</definedName>
    <definedName name="T6?L4.7" localSheetId="12">#REF!</definedName>
    <definedName name="T6?Name" localSheetId="12">#REF!</definedName>
    <definedName name="T6?Table" localSheetId="12">#REF!</definedName>
    <definedName name="T6?Title" localSheetId="12">#REF!</definedName>
    <definedName name="T6_Protect" localSheetId="12">P1_T6_Protect,P2_T6_Protect</definedName>
    <definedName name="T7?Data">#N/A</definedName>
    <definedName name="T9?axis?ПРД?РЕГ" localSheetId="12">#REF!</definedName>
    <definedName name="T9?item_ext?РОСТ" localSheetId="12">#REF!</definedName>
    <definedName name="T9?L1" localSheetId="12">#REF!</definedName>
    <definedName name="T9?L2.1" localSheetId="12">#REF!</definedName>
    <definedName name="T9?L2.2" localSheetId="12">#REF!</definedName>
    <definedName name="T9?L3.1" localSheetId="12">#REF!</definedName>
    <definedName name="T9?L3.2" localSheetId="12">#REF!</definedName>
    <definedName name="T9?L4.1" localSheetId="12">#REF!</definedName>
    <definedName name="T9?L4.2" localSheetId="12">#REF!</definedName>
    <definedName name="T9?L5" localSheetId="12">#REF!</definedName>
    <definedName name="T9?Name" localSheetId="12">#REF!</definedName>
    <definedName name="T9?Table" localSheetId="12">#REF!</definedName>
    <definedName name="T9?Title" localSheetId="12">#REF!</definedName>
    <definedName name="T9?unit?МВТЧ" localSheetId="12">#REF!</definedName>
    <definedName name="T9?unit?ПРЦ" localSheetId="12">#REF!</definedName>
    <definedName name="Table" localSheetId="12">#REF!</definedName>
    <definedName name="TEMP" localSheetId="12">#REF!,#REF!</definedName>
    <definedName name="TES" localSheetId="12">#REF!</definedName>
    <definedName name="TES_DATA" localSheetId="12">#REF!</definedName>
    <definedName name="TES_LIST" localSheetId="12">#REF!</definedName>
    <definedName name="TTT" localSheetId="12">#REF!</definedName>
    <definedName name="upr">#N/A</definedName>
    <definedName name="ůůů">#N/A</definedName>
    <definedName name="VDOC" localSheetId="12">#REF!</definedName>
    <definedName name="version">[2]Инструкция!$B$3</definedName>
    <definedName name="VV">#N/A</definedName>
    <definedName name="vvvv" localSheetId="17" hidden="1">#REF!,#REF!,#REF!,#REF!,#REF!,#REF!,#REF!,#REF!</definedName>
    <definedName name="vvvv" localSheetId="12" hidden="1">#REF!,#REF!,#REF!,#REF!,#REF!,#REF!,#REF!,#REF!</definedName>
    <definedName name="we">#N/A</definedName>
    <definedName name="WorkRange_21_1" localSheetId="12">#REF!</definedName>
    <definedName name="WorkRange_21_1_1" localSheetId="12">#REF!</definedName>
    <definedName name="WorkRange_21_1_2" localSheetId="12">#REF!</definedName>
    <definedName name="WorkRange_21_1_3" localSheetId="12">#REF!</definedName>
    <definedName name="WorkRange_21_1_4" localSheetId="12">#REF!</definedName>
    <definedName name="wrn.Сравнение._.с._.отраслями." localSheetId="12" hidden="1">{#N/A,#N/A,TRUE,"Лист1";#N/A,#N/A,TRUE,"Лист2";#N/A,#N/A,TRUE,"Лист3"}</definedName>
    <definedName name="Year" localSheetId="17">[1]TEHSHEET!$I$4:$I$8</definedName>
    <definedName name="YEAR" localSheetId="12">#REF!</definedName>
    <definedName name="Z_0C843942_D575_41C8_B9DD_35A2FD9DF8D8_.wvu.Cols" localSheetId="35" hidden="1">'Форма 2'!$C:$H,'Форма 2'!#REF!,'Форма 2'!#REF!,'Форма 2'!#REF!</definedName>
    <definedName name="Z_7504E81A_39E7_4374_8D8F_2AE8FE7EA102_.wvu.Cols" localSheetId="35" hidden="1">'Форма 2'!$C:$C,'Форма 2'!$D:$D,'Форма 2'!#REF!,'Форма 2'!#REF!,'Форма 2'!#REF!</definedName>
    <definedName name="Z_8DCECFC0_2253_4C30_B04C_90AFA49DBCFA_.wvu.Cols" localSheetId="35" hidden="1">'Форма 2'!#REF!,'Форма 2'!#REF!,'Форма 2'!#REF!</definedName>
    <definedName name="ZERO" localSheetId="12">#REF!</definedName>
    <definedName name="а1" localSheetId="12">#REF!</definedName>
    <definedName name="А8" localSheetId="12">#REF!</definedName>
    <definedName name="аа">#N/A</definedName>
    <definedName name="АААААААА">#N/A</definedName>
    <definedName name="ав">#N/A</definedName>
    <definedName name="авг" localSheetId="12">#REF!</definedName>
    <definedName name="авг2" localSheetId="12">#REF!</definedName>
    <definedName name="ап">#N/A</definedName>
    <definedName name="апр" localSheetId="12">#REF!</definedName>
    <definedName name="апр2" localSheetId="12">#REF!</definedName>
    <definedName name="АТП" localSheetId="12">#REF!</definedName>
    <definedName name="аяыпамыпмипи">#N/A</definedName>
    <definedName name="_xlnm.Database" localSheetId="12">#REF!</definedName>
    <definedName name="_xlnm.Database">#REF!</definedName>
    <definedName name="БазовыйПериод">[7]Заголовок!$B$15</definedName>
    <definedName name="баланс_стоим" localSheetId="17">'[8]Исходные данные'!$C$16</definedName>
    <definedName name="бб">#N/A</definedName>
    <definedName name="в">#N/A</definedName>
    <definedName name="в23ё">#N/A</definedName>
    <definedName name="вап">#N/A</definedName>
    <definedName name="Вар.их">#N/A</definedName>
    <definedName name="Вар.КАЛМЭ">#N/A</definedName>
    <definedName name="вв">#N/A</definedName>
    <definedName name="витт" localSheetId="12" hidden="1">{#N/A,#N/A,TRUE,"Лист1";#N/A,#N/A,TRUE,"Лист2";#N/A,#N/A,TRUE,"Лист3"}</definedName>
    <definedName name="вм">#N/A</definedName>
    <definedName name="вмивртвр">#N/A</definedName>
    <definedName name="восемь" localSheetId="12">#REF!</definedName>
    <definedName name="вртт">#N/A</definedName>
    <definedName name="ВТОП" localSheetId="12">#REF!</definedName>
    <definedName name="второй" localSheetId="12">#REF!</definedName>
    <definedName name="вуув" localSheetId="12" hidden="1">{#N/A,#N/A,TRUE,"Лист1";#N/A,#N/A,TRUE,"Лист2";#N/A,#N/A,TRUE,"Лист3"}</definedName>
    <definedName name="гнлзщ">#N/A</definedName>
    <definedName name="грприрцфв00ав98" localSheetId="12" hidden="1">{#N/A,#N/A,TRUE,"Лист1";#N/A,#N/A,TRUE,"Лист2";#N/A,#N/A,TRUE,"Лист3"}</definedName>
    <definedName name="Группы" localSheetId="17">#REF!</definedName>
    <definedName name="Группы" localSheetId="12">#REF!</definedName>
    <definedName name="грфинцкавг98Х" localSheetId="12" hidden="1">{#N/A,#N/A,TRUE,"Лист1";#N/A,#N/A,TRUE,"Лист2";#N/A,#N/A,TRUE,"Лист3"}</definedName>
    <definedName name="гшгш" localSheetId="12" hidden="1">{#N/A,#N/A,TRUE,"Лист1";#N/A,#N/A,TRUE,"Лист2";#N/A,#N/A,TRUE,"Лист3"}</definedName>
    <definedName name="дек" localSheetId="12">#REF!</definedName>
    <definedName name="дек2" localSheetId="12">#REF!</definedName>
    <definedName name="дж">#N/A</definedName>
    <definedName name="ДиапазонЗащиты" localSheetId="12">#REF!,#REF!,#REF!,#REF!,[0]!P1_ДиапазонЗащиты,[0]!P2_ДиапазонЗащиты,[0]!P3_ДиапазонЗащиты,[0]!P4_ДиапазонЗащиты</definedName>
    <definedName name="дима" localSheetId="12">#REF!</definedName>
    <definedName name="Долгосрочн" localSheetId="17">ГСМ!Долгосрочн</definedName>
    <definedName name="Долгосрочн" localSheetId="12">'Ком предл.'!Долгосрочн</definedName>
    <definedName name="доопатмо">#N/A</definedName>
    <definedName name="Дополнение">#N/A</definedName>
    <definedName name="еще">#N/A</definedName>
    <definedName name="ж">#N/A</definedName>
    <definedName name="жд">#N/A</definedName>
    <definedName name="з4" localSheetId="12">#REF!</definedName>
    <definedName name="_xlnm.Print_Titles" localSheetId="22">'Транс. налог'!$3:$4</definedName>
    <definedName name="ЗП2">[9]Лист13!$B$2</definedName>
    <definedName name="ЗП3">[9]Лист13!$C$2</definedName>
    <definedName name="ЗП4">[9]Лист13!$D$2</definedName>
    <definedName name="и_эсо_вн" localSheetId="12">#REF!</definedName>
    <definedName name="и_эсо_сн1" localSheetId="12">#REF!</definedName>
    <definedName name="Извлечение_ИМ" localSheetId="12">#REF!</definedName>
    <definedName name="_xlnm.Extract" localSheetId="12">#REF!</definedName>
    <definedName name="_xlnm.Extract">#REF!</definedName>
    <definedName name="ий">#N/A</definedName>
    <definedName name="индцкавг98" localSheetId="12" hidden="1">{#N/A,#N/A,TRUE,"Лист1";#N/A,#N/A,TRUE,"Лист2";#N/A,#N/A,TRUE,"Лист3"}</definedName>
    <definedName name="июл" localSheetId="12">#REF!</definedName>
    <definedName name="июл2" localSheetId="12">#REF!</definedName>
    <definedName name="июн" localSheetId="12">#REF!</definedName>
    <definedName name="июн2" localSheetId="12">#REF!</definedName>
    <definedName name="й">#N/A</definedName>
    <definedName name="йй">#N/A</definedName>
    <definedName name="йфц">#N/A</definedName>
    <definedName name="йц">#N/A</definedName>
    <definedName name="йцу">#N/A</definedName>
    <definedName name="К1" localSheetId="17">#REF!</definedName>
    <definedName name="К1" localSheetId="12">#REF!</definedName>
    <definedName name="к2" localSheetId="17">#REF!</definedName>
    <definedName name="к2" localSheetId="12">#REF!</definedName>
    <definedName name="к3" localSheetId="17">#REF!</definedName>
    <definedName name="к3" localSheetId="12">#REF!</definedName>
    <definedName name="к3333" localSheetId="17">ГСМ!к3333</definedName>
    <definedName name="к3333" localSheetId="12">'Ком предл.'!к3333</definedName>
    <definedName name="ке">#N/A</definedName>
    <definedName name="кеппппппппппп" localSheetId="12" hidden="1">{#N/A,#N/A,TRUE,"Лист1";#N/A,#N/A,TRUE,"Лист2";#N/A,#N/A,TRUE,"Лист3"}</definedName>
    <definedName name="компенсация">#N/A</definedName>
    <definedName name="кп">#N/A</definedName>
    <definedName name="кпнрг">#N/A</definedName>
    <definedName name="Кредит_ставка" localSheetId="17">'[8]Исходные данные'!$B$25</definedName>
    <definedName name="_xlnm.Criteria" localSheetId="12">#REF!</definedName>
    <definedName name="_xlnm.Criteria">#REF!</definedName>
    <definedName name="Критерии_ИМ" localSheetId="12">#REF!</definedName>
    <definedName name="критерий" localSheetId="12">#REF!</definedName>
    <definedName name="ктджщз">#N/A</definedName>
    <definedName name="лара">#N/A</definedName>
    <definedName name="лена" localSheetId="12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#N/A</definedName>
    <definedName name="лор">#N/A</definedName>
    <definedName name="лщжо" localSheetId="12" hidden="1">{#N/A,#N/A,TRUE,"Лист1";#N/A,#N/A,TRUE,"Лист2";#N/A,#N/A,TRUE,"Лист3"}</definedName>
    <definedName name="м">#N/A</definedName>
    <definedName name="май" localSheetId="12">#REF!</definedName>
    <definedName name="май2" localSheetId="12">#REF!</definedName>
    <definedName name="мам">#N/A</definedName>
    <definedName name="мар" localSheetId="12">#REF!</definedName>
    <definedName name="мар2" localSheetId="12">#REF!</definedName>
    <definedName name="мм">#N/A</definedName>
    <definedName name="ммм">#N/A</definedName>
    <definedName name="мммм">#N/A</definedName>
    <definedName name="мммммммм">#N/A</definedName>
    <definedName name="МР" localSheetId="12">#REF!</definedName>
    <definedName name="мым">#N/A</definedName>
    <definedName name="н" localSheetId="17">'[8]Исходные данные'!$B$25</definedName>
    <definedName name="название" localSheetId="17">#REF!</definedName>
    <definedName name="название" localSheetId="12">#REF!</definedName>
    <definedName name="Налог_на_ПА" localSheetId="17">'[8]Исходные данные'!$B$33</definedName>
    <definedName name="нгг">#N/A</definedName>
    <definedName name="ноя" localSheetId="12">#REF!</definedName>
    <definedName name="ноя2" localSheetId="12">#REF!</definedName>
    <definedName name="НСРФ" localSheetId="12">#REF!</definedName>
    <definedName name="НСРФ2" localSheetId="12">#REF!</definedName>
    <definedName name="ншш" localSheetId="12" hidden="1">{#N/A,#N/A,TRUE,"Лист1";#N/A,#N/A,TRUE,"Лист2";#N/A,#N/A,TRUE,"Лист3"}</definedName>
    <definedName name="_xlnm.Print_Area" localSheetId="5">'1.4'!$A$1:$AG$107</definedName>
    <definedName name="_xlnm.Print_Area" localSheetId="6">'1.5'!$A$1:$V$90</definedName>
    <definedName name="_xlnm.Print_Area" localSheetId="3">'2.1'!$A$1:$AB$49</definedName>
    <definedName name="_xlnm.Print_Area" localSheetId="4">'2.2'!$A$3:$AE$38</definedName>
    <definedName name="_xlnm.Print_Area" localSheetId="26">Аммортизация!$A$1:$L$40</definedName>
    <definedName name="_xlnm.Print_Area" localSheetId="17">ГСМ!$A$1:$V$52</definedName>
    <definedName name="_xlnm.Print_Area" localSheetId="15">'Другие прочие и подконтрольные '!$A$1:$F$26</definedName>
    <definedName name="_xlnm.Print_Area" localSheetId="11">'Затраты на ремонт'!$A$1:$H$154</definedName>
    <definedName name="_xlnm.Print_Area" localSheetId="1">Заявление!$A$1:$L$50</definedName>
    <definedName name="_xlnm.Print_Area" localSheetId="21">'Налог на имущество'!$A$1:$F$15</definedName>
    <definedName name="_xlnm.Print_Area" localSheetId="13">'Оплата труда'!$A$1:$R$41</definedName>
    <definedName name="_xlnm.Print_Area" localSheetId="16">'Оплата услуг ФСК'!$A$1:$I$18</definedName>
    <definedName name="_xlnm.Print_Area" localSheetId="20">'Плата за землю'!$A$1:$G$29</definedName>
    <definedName name="_xlnm.Print_Area" localSheetId="10">'Раб. и усл. произ. хар-ра'!$A$1:$G$21</definedName>
    <definedName name="_xlnm.Print_Area" localSheetId="2">'Реквизиты организации'!$A$1:$G$35</definedName>
    <definedName name="_xlnm.Print_Area" localSheetId="7">'Свод долгосрочный '!$A$1:$N$208</definedName>
    <definedName name="_xlnm.Print_Area" localSheetId="37">'Сводная 2020'!$A$1:$BZ$58</definedName>
    <definedName name="_xlnm.Print_Area" localSheetId="18">'Содержание зданий'!$A$1:$F$34</definedName>
    <definedName name="_xlnm.Print_Area" localSheetId="9">'Сырье и материалы'!$A$1:$F$25</definedName>
    <definedName name="_xlnm.Print_Area" localSheetId="22">'Транс. налог'!$A$1:$Q$34</definedName>
    <definedName name="_xlnm.Print_Area" localSheetId="14">'Числ. и разряд'!$A$1:$I$55</definedName>
    <definedName name="окт" localSheetId="12">#REF!</definedName>
    <definedName name="окт2" localSheetId="12">#REF!</definedName>
    <definedName name="олло">#N/A</definedName>
    <definedName name="олс">#N/A</definedName>
    <definedName name="ооо">#N/A</definedName>
    <definedName name="Операция" localSheetId="12">#REF!</definedName>
    <definedName name="ОРГ" localSheetId="12">#REF!</definedName>
    <definedName name="ОРГАНИЗАЦИЯ" localSheetId="12">#REF!</definedName>
    <definedName name="ОС.пок" localSheetId="17">#REF!</definedName>
    <definedName name="ОС.пок" localSheetId="12">#REF!</definedName>
    <definedName name="отпуск">#N/A</definedName>
    <definedName name="ОтпускЭлектроэнергииИтогоБаз">'[7]6'!$C$15</definedName>
    <definedName name="ОтпускЭлектроэнергииИтогоРег">'[7]6'!$C$24</definedName>
    <definedName name="п_авг" localSheetId="12">#REF!</definedName>
    <definedName name="п_апр" localSheetId="12">#REF!</definedName>
    <definedName name="п_дек" localSheetId="12">#REF!</definedName>
    <definedName name="п_июл" localSheetId="12">#REF!</definedName>
    <definedName name="п_июн" localSheetId="12">#REF!</definedName>
    <definedName name="п_май" localSheetId="12">#REF!</definedName>
    <definedName name="п_мар" localSheetId="12">#REF!</definedName>
    <definedName name="п_ноя" localSheetId="12">#REF!</definedName>
    <definedName name="п_окт" localSheetId="12">#REF!</definedName>
    <definedName name="п_сен" localSheetId="12">#REF!</definedName>
    <definedName name="п_фев" localSheetId="12">#REF!</definedName>
    <definedName name="п_янв" localSheetId="12">#REF!</definedName>
    <definedName name="первый" localSheetId="12">#REF!</definedName>
    <definedName name="ПериодРегулирования">[7]Заголовок!$B$14</definedName>
    <definedName name="план56">#N/A</definedName>
    <definedName name="ПМС">#N/A</definedName>
    <definedName name="ПМС1">#N/A</definedName>
    <definedName name="по_б_вн" localSheetId="12">#REF!</definedName>
    <definedName name="по_б_всего" localSheetId="12">#REF!</definedName>
    <definedName name="по_б_нн" localSheetId="12">#REF!</definedName>
    <definedName name="по_б_сн1" localSheetId="12">#REF!</definedName>
    <definedName name="по_б_сн2" localSheetId="12">#REF!</definedName>
    <definedName name="по_нас_всего" localSheetId="12">#REF!</definedName>
    <definedName name="по_насел_сн2" localSheetId="12">#REF!</definedName>
    <definedName name="Подоперация" localSheetId="12">#REF!</definedName>
    <definedName name="пол_нас_нн" localSheetId="12">#REF!</definedName>
    <definedName name="пппп">#N/A</definedName>
    <definedName name="пр">#N/A</definedName>
    <definedName name="прибыль3" localSheetId="12" hidden="1">{#N/A,#N/A,TRUE,"Лист1";#N/A,#N/A,TRUE,"Лист2";#N/A,#N/A,TRUE,"Лист3"}</definedName>
    <definedName name="Приход_расход" localSheetId="12">#REF!</definedName>
    <definedName name="Проект" localSheetId="12">#REF!</definedName>
    <definedName name="прош_год" localSheetId="12">#REF!</definedName>
    <definedName name="пс" localSheetId="17">#REF!</definedName>
    <definedName name="пс" localSheetId="12">#REF!</definedName>
    <definedName name="размер_аванса" localSheetId="17">'[8]Исходные данные'!$B$29</definedName>
    <definedName name="размер_кредита" localSheetId="17">'[8]Исходные данные'!$C$24</definedName>
    <definedName name="рис1" localSheetId="12" hidden="1">{#N/A,#N/A,TRUE,"Лист1";#N/A,#N/A,TRUE,"Лист2";#N/A,#N/A,TRUE,"Лист3"}</definedName>
    <definedName name="рсср">#N/A</definedName>
    <definedName name="с">#N/A</definedName>
    <definedName name="с1">#N/A</definedName>
    <definedName name="сваеррта">#N/A</definedName>
    <definedName name="свмпвппв">#N/A</definedName>
    <definedName name="себестоимость2">#N/A</definedName>
    <definedName name="семь" localSheetId="12">#REF!</definedName>
    <definedName name="сен" localSheetId="12">#REF!</definedName>
    <definedName name="сен2" localSheetId="12">#REF!</definedName>
    <definedName name="ск">#N/A</definedName>
    <definedName name="сокращение">#N/A</definedName>
    <definedName name="сомп">#N/A</definedName>
    <definedName name="сомпас">#N/A</definedName>
    <definedName name="Срок_ДФЛ" localSheetId="17">'[8]Исходные данные'!$C$21</definedName>
    <definedName name="сс">#N/A</definedName>
    <definedName name="сссс">#N/A</definedName>
    <definedName name="сссссссссс" localSheetId="12">#REF!</definedName>
    <definedName name="ссссссссссс">#N/A</definedName>
    <definedName name="ссссссссссссс">#N/A</definedName>
    <definedName name="ссссссссссссссс">#N/A</definedName>
    <definedName name="сссссссссссссссс">#N/A</definedName>
    <definedName name="ссссссссссссссссс">#N/A</definedName>
    <definedName name="ссссссссссссссссссс">#N/A</definedName>
    <definedName name="ссссссссссссссссссссс">#N/A</definedName>
    <definedName name="сссссссссссссссссссссс">#N/A</definedName>
    <definedName name="ссы">#N/A</definedName>
    <definedName name="ссы2">#N/A</definedName>
    <definedName name="Ставка_амортиз" localSheetId="17">#REF!</definedName>
    <definedName name="Ставка_амортиз" localSheetId="12">#REF!</definedName>
    <definedName name="Ставка_налога_на_ПА" localSheetId="17">'[8]Исходные данные'!$B$33</definedName>
    <definedName name="Ставка_НДС" localSheetId="17">'[8]Исходные данные'!$B$34</definedName>
    <definedName name="Ставка_НИ" localSheetId="17">'[8]Исходные данные'!$B$32</definedName>
    <definedName name="Статья" localSheetId="12">#REF!</definedName>
    <definedName name="стоим_оборуд" localSheetId="17">'[8]Исходные данные'!$C$14</definedName>
    <definedName name="Т7_тепло" localSheetId="6">'1.5'!Т7_тепло</definedName>
    <definedName name="Т7_тепло" localSheetId="17">ГСМ!Т7_тепло</definedName>
    <definedName name="Т7_тепло" localSheetId="12">#N/A</definedName>
    <definedName name="таня">#N/A</definedName>
    <definedName name="текмес" localSheetId="12">#REF!</definedName>
    <definedName name="текмес2" localSheetId="12">#REF!</definedName>
    <definedName name="тепло">#N/A</definedName>
    <definedName name="тит" localSheetId="17">'[8]Исходные данные'!$B$33</definedName>
    <definedName name="тп" localSheetId="12" hidden="1">{#N/A,#N/A,TRUE,"Лист1";#N/A,#N/A,TRUE,"Лист2";#N/A,#N/A,TRUE,"Лист3"}</definedName>
    <definedName name="третий" localSheetId="12">#REF!</definedName>
    <definedName name="ть">#N/A</definedName>
    <definedName name="ТЭП2" localSheetId="12" hidden="1">{#N/A,#N/A,TRUE,"Лист1";#N/A,#N/A,TRUE,"Лист2";#N/A,#N/A,TRUE,"Лист3"}</definedName>
    <definedName name="у">#N/A</definedName>
    <definedName name="у1">#N/A</definedName>
    <definedName name="ук">#N/A</definedName>
    <definedName name="укеееукеееееееееееееее" localSheetId="12" hidden="1">{#N/A,#N/A,TRUE,"Лист1";#N/A,#N/A,TRUE,"Лист2";#N/A,#N/A,TRUE,"Лист3"}</definedName>
    <definedName name="укеукеуеуе" localSheetId="12" hidden="1">{#N/A,#N/A,TRUE,"Лист1";#N/A,#N/A,TRUE,"Лист2";#N/A,#N/A,TRUE,"Лист3"}</definedName>
    <definedName name="уу">#N/A</definedName>
    <definedName name="УФ">#N/A</definedName>
    <definedName name="уыукпе">#N/A</definedName>
    <definedName name="фам">#N/A</definedName>
    <definedName name="фев" localSheetId="12">#REF!</definedName>
    <definedName name="фев2" localSheetId="12">#REF!</definedName>
    <definedName name="Форма">#N/A</definedName>
    <definedName name="фыаспит">#N/A</definedName>
    <definedName name="ц">#N/A</definedName>
    <definedName name="ц1">#N/A</definedName>
    <definedName name="ЦП1" localSheetId="17">#REF!</definedName>
    <definedName name="ЦП1" localSheetId="12">#REF!</definedName>
    <definedName name="ЦП2" localSheetId="17">#REF!</definedName>
    <definedName name="ЦП2" localSheetId="12">#REF!</definedName>
    <definedName name="ЦП3" localSheetId="17">#REF!</definedName>
    <definedName name="ЦП3" localSheetId="12">#REF!</definedName>
    <definedName name="ЦП4" localSheetId="17">#REF!</definedName>
    <definedName name="ЦП4" localSheetId="12">#REF!</definedName>
    <definedName name="цу">#N/A</definedName>
    <definedName name="цуа">#N/A</definedName>
    <definedName name="черновик">#N/A</definedName>
    <definedName name="четвертый" localSheetId="12">#REF!</definedName>
    <definedName name="шир_дан" localSheetId="12">#REF!</definedName>
    <definedName name="шир_отч" localSheetId="12">#REF!</definedName>
    <definedName name="шир_прош" localSheetId="12">#REF!</definedName>
    <definedName name="шир_тек" localSheetId="12">#REF!</definedName>
    <definedName name="щ">#N/A</definedName>
    <definedName name="ыаппр">#N/A</definedName>
    <definedName name="ыапр" localSheetId="12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2" hidden="1">{#N/A,#N/A,TRUE,"Лист1";#N/A,#N/A,TRUE,"Лист2";#N/A,#N/A,TRUE,"Лист3"}</definedName>
    <definedName name="ыпыпми" localSheetId="12" hidden="1">{#N/A,#N/A,TRUE,"Лист1";#N/A,#N/A,TRUE,"Лист2";#N/A,#N/A,TRUE,"Лист3"}</definedName>
    <definedName name="ысчпи" localSheetId="12" hidden="1">{#N/A,#N/A,TRUE,"Лист1";#N/A,#N/A,TRUE,"Лист2";#N/A,#N/A,TRUE,"Лист3"}</definedName>
    <definedName name="ыуаы" localSheetId="12" hidden="1">{#N/A,#N/A,TRUE,"Лист1";#N/A,#N/A,TRUE,"Лист2";#N/A,#N/A,TRUE,"Лист3"}</definedName>
    <definedName name="ыфса">#N/A</definedName>
    <definedName name="ыыыы">#N/A</definedName>
    <definedName name="ю">#N/A</definedName>
    <definedName name="ююююююю">#N/A</definedName>
    <definedName name="я">#N/A</definedName>
    <definedName name="янв" localSheetId="12">#REF!</definedName>
    <definedName name="янв2" localSheetId="12">#REF!</definedName>
    <definedName name="яя">#N/A</definedName>
    <definedName name="яяя">#N/A</definedName>
  </definedNames>
  <calcPr calcId="124519"/>
</workbook>
</file>

<file path=xl/calcChain.xml><?xml version="1.0" encoding="utf-8"?>
<calcChain xmlns="http://schemas.openxmlformats.org/spreadsheetml/2006/main">
  <c r="M25" i="47"/>
  <c r="K49" i="43"/>
  <c r="K48"/>
  <c r="D29" i="45"/>
  <c r="D9"/>
  <c r="D8"/>
  <c r="O6" i="47"/>
  <c r="J8" i="46"/>
  <c r="I8"/>
  <c r="H8"/>
  <c r="G8"/>
  <c r="G28" s="1"/>
  <c r="B8"/>
  <c r="B28" s="1"/>
  <c r="E6"/>
  <c r="J6" s="1"/>
  <c r="C6"/>
  <c r="H6" s="1"/>
  <c r="H28" s="1"/>
  <c r="E49" i="72"/>
  <c r="D49"/>
  <c r="H49" s="1"/>
  <c r="C49"/>
  <c r="K48"/>
  <c r="H48"/>
  <c r="J48" s="1"/>
  <c r="K47"/>
  <c r="H47"/>
  <c r="J47" s="1"/>
  <c r="K46"/>
  <c r="H46"/>
  <c r="J46" s="1"/>
  <c r="K45"/>
  <c r="H45"/>
  <c r="J45" s="1"/>
  <c r="K44"/>
  <c r="H44"/>
  <c r="J44" s="1"/>
  <c r="K43"/>
  <c r="J43"/>
  <c r="E42"/>
  <c r="D42"/>
  <c r="H42" s="1"/>
  <c r="K41"/>
  <c r="H41"/>
  <c r="J41" s="1"/>
  <c r="K40"/>
  <c r="H40"/>
  <c r="J40" s="1"/>
  <c r="K39"/>
  <c r="H39"/>
  <c r="J39" s="1"/>
  <c r="K38"/>
  <c r="H38"/>
  <c r="J38" s="1"/>
  <c r="K37"/>
  <c r="J37"/>
  <c r="E36"/>
  <c r="E50" s="1"/>
  <c r="D36"/>
  <c r="D50" s="1"/>
  <c r="C36"/>
  <c r="H36" s="1"/>
  <c r="H35"/>
  <c r="K35" s="1"/>
  <c r="H34"/>
  <c r="K34" s="1"/>
  <c r="H33"/>
  <c r="K33" s="1"/>
  <c r="H32"/>
  <c r="K32" s="1"/>
  <c r="H31"/>
  <c r="K31" s="1"/>
  <c r="H30"/>
  <c r="K30" s="1"/>
  <c r="E25"/>
  <c r="D25"/>
  <c r="C25"/>
  <c r="H25" s="1"/>
  <c r="H24"/>
  <c r="K24" s="1"/>
  <c r="H23"/>
  <c r="K23" s="1"/>
  <c r="H22"/>
  <c r="K22" s="1"/>
  <c r="H21"/>
  <c r="K21" s="1"/>
  <c r="H20"/>
  <c r="K20" s="1"/>
  <c r="H19"/>
  <c r="K19" s="1"/>
  <c r="K18"/>
  <c r="J18"/>
  <c r="E17"/>
  <c r="E26" s="1"/>
  <c r="D17"/>
  <c r="D26" s="1"/>
  <c r="C17"/>
  <c r="C26" s="1"/>
  <c r="K16"/>
  <c r="H16"/>
  <c r="J16" s="1"/>
  <c r="K15"/>
  <c r="H15"/>
  <c r="J15" s="1"/>
  <c r="K14"/>
  <c r="H14"/>
  <c r="J14" s="1"/>
  <c r="K13"/>
  <c r="H13"/>
  <c r="J13" s="1"/>
  <c r="K12"/>
  <c r="H12"/>
  <c r="J12" s="1"/>
  <c r="K11"/>
  <c r="H11"/>
  <c r="J11" s="1"/>
  <c r="K10"/>
  <c r="H10"/>
  <c r="J10" s="1"/>
  <c r="K9"/>
  <c r="H9"/>
  <c r="J9" s="1"/>
  <c r="K8"/>
  <c r="H8"/>
  <c r="J8" s="1"/>
  <c r="A1"/>
  <c r="F16" l="1"/>
  <c r="F15"/>
  <c r="F14"/>
  <c r="F13"/>
  <c r="F12"/>
  <c r="F11"/>
  <c r="F10"/>
  <c r="F9"/>
  <c r="F8"/>
  <c r="F26"/>
  <c r="F24"/>
  <c r="F23"/>
  <c r="F22"/>
  <c r="F21"/>
  <c r="F20"/>
  <c r="F19"/>
  <c r="J25"/>
  <c r="K25"/>
  <c r="F50"/>
  <c r="F48"/>
  <c r="F47"/>
  <c r="F46"/>
  <c r="F45"/>
  <c r="F44"/>
  <c r="F41"/>
  <c r="F40"/>
  <c r="F39"/>
  <c r="F38"/>
  <c r="F35"/>
  <c r="F34"/>
  <c r="F33"/>
  <c r="F32"/>
  <c r="F31"/>
  <c r="F30"/>
  <c r="J42"/>
  <c r="K42"/>
  <c r="G26"/>
  <c r="I26" s="1"/>
  <c r="G24"/>
  <c r="G23"/>
  <c r="I23" s="1"/>
  <c r="G22"/>
  <c r="G21"/>
  <c r="I21" s="1"/>
  <c r="G20"/>
  <c r="G19"/>
  <c r="I19" s="1"/>
  <c r="H26"/>
  <c r="G16"/>
  <c r="I16" s="1"/>
  <c r="G15"/>
  <c r="I15" s="1"/>
  <c r="G14"/>
  <c r="I14" s="1"/>
  <c r="G13"/>
  <c r="I13" s="1"/>
  <c r="G12"/>
  <c r="I12" s="1"/>
  <c r="G11"/>
  <c r="I11" s="1"/>
  <c r="G10"/>
  <c r="I10" s="1"/>
  <c r="G9"/>
  <c r="I9" s="1"/>
  <c r="G8"/>
  <c r="I8" s="1"/>
  <c r="J36"/>
  <c r="K36"/>
  <c r="K49"/>
  <c r="J49"/>
  <c r="F25"/>
  <c r="F17"/>
  <c r="H17"/>
  <c r="J19"/>
  <c r="J20"/>
  <c r="J21"/>
  <c r="J22"/>
  <c r="J23"/>
  <c r="J24"/>
  <c r="G25"/>
  <c r="J30"/>
  <c r="J31"/>
  <c r="J32"/>
  <c r="J33"/>
  <c r="J34"/>
  <c r="J35"/>
  <c r="F49"/>
  <c r="C50"/>
  <c r="G17"/>
  <c r="I17" s="1"/>
  <c r="F36"/>
  <c r="F42"/>
  <c r="H50" l="1"/>
  <c r="G35"/>
  <c r="I35" s="1"/>
  <c r="G34"/>
  <c r="I34" s="1"/>
  <c r="G33"/>
  <c r="I33" s="1"/>
  <c r="G32"/>
  <c r="I32" s="1"/>
  <c r="G31"/>
  <c r="I31" s="1"/>
  <c r="G30"/>
  <c r="I30" s="1"/>
  <c r="G50"/>
  <c r="I50" s="1"/>
  <c r="G48"/>
  <c r="I48" s="1"/>
  <c r="G47"/>
  <c r="I47" s="1"/>
  <c r="G46"/>
  <c r="I46" s="1"/>
  <c r="G45"/>
  <c r="I45" s="1"/>
  <c r="G44"/>
  <c r="I44" s="1"/>
  <c r="G42"/>
  <c r="I42" s="1"/>
  <c r="G41"/>
  <c r="I41" s="1"/>
  <c r="G40"/>
  <c r="I40" s="1"/>
  <c r="G39"/>
  <c r="I39" s="1"/>
  <c r="G38"/>
  <c r="I38" s="1"/>
  <c r="K17"/>
  <c r="J17"/>
  <c r="K26"/>
  <c r="J26"/>
  <c r="G36"/>
  <c r="I36" s="1"/>
  <c r="I25"/>
  <c r="G49"/>
  <c r="I49" s="1"/>
  <c r="I20"/>
  <c r="I22"/>
  <c r="I24"/>
  <c r="J50" l="1"/>
  <c r="K50"/>
  <c r="D24" i="65" l="1"/>
  <c r="D25"/>
  <c r="I146" i="43"/>
  <c r="I83"/>
  <c r="I172"/>
  <c r="I167"/>
  <c r="I168"/>
  <c r="I169"/>
  <c r="I170"/>
  <c r="I171"/>
  <c r="I165"/>
  <c r="I166"/>
  <c r="I164"/>
  <c r="I162"/>
  <c r="I161"/>
  <c r="B45" i="61"/>
  <c r="G63"/>
  <c r="G57"/>
  <c r="F63"/>
  <c r="E63"/>
  <c r="E57"/>
  <c r="F57"/>
  <c r="I131" i="43"/>
  <c r="I124"/>
  <c r="I114"/>
  <c r="I106"/>
  <c r="I107" s="1"/>
  <c r="I104" s="1"/>
  <c r="I125"/>
  <c r="G10" i="83"/>
  <c r="G9"/>
  <c r="I103" i="43" l="1"/>
  <c r="BX12" i="87"/>
  <c r="BY12"/>
  <c r="BZ12"/>
  <c r="BW12"/>
  <c r="BW38"/>
  <c r="BX38"/>
  <c r="BY38"/>
  <c r="BZ38"/>
  <c r="G42" i="81"/>
  <c r="D42"/>
  <c r="D43" s="1"/>
  <c r="D41"/>
  <c r="D39"/>
  <c r="D37"/>
  <c r="D35"/>
  <c r="D34"/>
  <c r="D32"/>
  <c r="D31"/>
  <c r="D30"/>
  <c r="D28"/>
  <c r="D29"/>
  <c r="D24"/>
  <c r="D21"/>
  <c r="D22"/>
  <c r="D19"/>
  <c r="D18"/>
  <c r="D17"/>
  <c r="D13"/>
  <c r="D11"/>
  <c r="D10"/>
  <c r="D9"/>
  <c r="D8"/>
  <c r="D7"/>
  <c r="D6"/>
  <c r="D5"/>
  <c r="D3"/>
  <c r="E43"/>
  <c r="E37"/>
  <c r="F12" i="60"/>
  <c r="F16"/>
  <c r="F17"/>
  <c r="D18"/>
  <c r="F18" s="1"/>
  <c r="D15"/>
  <c r="F15" s="1"/>
  <c r="D14"/>
  <c r="F14" s="1"/>
  <c r="D13"/>
  <c r="F13" s="1"/>
  <c r="D11"/>
  <c r="F11" s="1"/>
  <c r="G144" i="4"/>
  <c r="G145"/>
  <c r="G143"/>
  <c r="H143" s="1"/>
  <c r="F144"/>
  <c r="F145"/>
  <c r="F143"/>
  <c r="C144"/>
  <c r="C145"/>
  <c r="C143"/>
  <c r="K94" i="86"/>
  <c r="K93"/>
  <c r="K92"/>
  <c r="K91"/>
  <c r="J94"/>
  <c r="G94"/>
  <c r="E144" i="4"/>
  <c r="D143"/>
  <c r="J29" i="74"/>
  <c r="J30"/>
  <c r="J31" s="1"/>
  <c r="J28"/>
  <c r="E51" i="81" l="1"/>
  <c r="C37" i="74"/>
  <c r="C36"/>
  <c r="F27"/>
  <c r="C28"/>
  <c r="C27"/>
  <c r="D17"/>
  <c r="D16"/>
  <c r="C17"/>
  <c r="C16"/>
  <c r="H11" i="21"/>
  <c r="I6"/>
  <c r="K50" i="43" l="1"/>
  <c r="H6" i="21" l="1"/>
  <c r="G6"/>
  <c r="K41" i="43"/>
  <c r="D6" i="65"/>
  <c r="E6"/>
  <c r="E8" i="75" l="1"/>
  <c r="M93" i="86" l="1"/>
  <c r="C18" i="60" l="1"/>
  <c r="C15"/>
  <c r="C14"/>
  <c r="C13"/>
  <c r="C11"/>
  <c r="C10"/>
  <c r="D10" s="1"/>
  <c r="F10" s="1"/>
  <c r="C9"/>
  <c r="C8"/>
  <c r="D7" i="69"/>
  <c r="D10"/>
  <c r="C19" i="60" l="1"/>
  <c r="D12" i="10"/>
  <c r="D15" s="1"/>
  <c r="D18" s="1"/>
  <c r="D9"/>
  <c r="E48" i="66"/>
  <c r="E47"/>
  <c r="K139" i="43"/>
  <c r="K133"/>
  <c r="D24" i="10" l="1"/>
  <c r="D21"/>
  <c r="D25" s="1"/>
  <c r="D26" s="1"/>
  <c r="M76" i="43" l="1"/>
  <c r="E35" i="81" l="1"/>
  <c r="I59" i="43" s="1"/>
  <c r="K21" s="1"/>
  <c r="E34" i="81"/>
  <c r="E31" s="1"/>
  <c r="E7"/>
  <c r="I22" i="43" s="1"/>
  <c r="BQ57" i="87"/>
  <c r="BM57"/>
  <c r="BI57"/>
  <c r="AW57"/>
  <c r="AS57"/>
  <c r="AO57"/>
  <c r="AC57"/>
  <c r="Y57"/>
  <c r="U57"/>
  <c r="M57"/>
  <c r="I57"/>
  <c r="E57"/>
  <c r="BQ56"/>
  <c r="BM56"/>
  <c r="BI56"/>
  <c r="AW56"/>
  <c r="AS56"/>
  <c r="AO56"/>
  <c r="AC56"/>
  <c r="Y56"/>
  <c r="U56"/>
  <c r="M56"/>
  <c r="I56"/>
  <c r="E56"/>
  <c r="BQ55"/>
  <c r="BM55"/>
  <c r="BI55"/>
  <c r="AW55"/>
  <c r="AS55"/>
  <c r="AO55"/>
  <c r="AC55"/>
  <c r="Y55"/>
  <c r="U55"/>
  <c r="M55"/>
  <c r="I55"/>
  <c r="E55"/>
  <c r="BT51"/>
  <c r="BS51"/>
  <c r="BR51"/>
  <c r="BQ51"/>
  <c r="BM51"/>
  <c r="BI51"/>
  <c r="AZ51"/>
  <c r="AY51"/>
  <c r="AX51"/>
  <c r="AW51"/>
  <c r="AS51"/>
  <c r="AO51"/>
  <c r="AF51"/>
  <c r="AE51"/>
  <c r="AD51"/>
  <c r="AC51"/>
  <c r="Y51"/>
  <c r="U51"/>
  <c r="P51"/>
  <c r="O51"/>
  <c r="AI51" s="1"/>
  <c r="BC51" s="1"/>
  <c r="BX51" s="1"/>
  <c r="N51"/>
  <c r="M51"/>
  <c r="I51"/>
  <c r="E51"/>
  <c r="BT49"/>
  <c r="BS49"/>
  <c r="BR49"/>
  <c r="BQ49"/>
  <c r="BM49"/>
  <c r="BI49"/>
  <c r="AZ49"/>
  <c r="AY49"/>
  <c r="AX49"/>
  <c r="AW49"/>
  <c r="AS49"/>
  <c r="AO49"/>
  <c r="AF49"/>
  <c r="AE49"/>
  <c r="AD49"/>
  <c r="AC49"/>
  <c r="Y49"/>
  <c r="U49"/>
  <c r="P49"/>
  <c r="O49"/>
  <c r="AI49" s="1"/>
  <c r="BC49" s="1"/>
  <c r="BX49" s="1"/>
  <c r="N49"/>
  <c r="M49"/>
  <c r="I49"/>
  <c r="E49"/>
  <c r="BT48"/>
  <c r="BS48"/>
  <c r="BR48"/>
  <c r="BQ48"/>
  <c r="BM48"/>
  <c r="BI48"/>
  <c r="AZ48"/>
  <c r="AY48"/>
  <c r="AX48"/>
  <c r="AW48"/>
  <c r="AS48"/>
  <c r="AO48"/>
  <c r="AF48"/>
  <c r="AE48"/>
  <c r="AD48"/>
  <c r="AC48"/>
  <c r="Y48"/>
  <c r="U48"/>
  <c r="P48"/>
  <c r="AJ48" s="1"/>
  <c r="O48"/>
  <c r="N48"/>
  <c r="M48"/>
  <c r="I48"/>
  <c r="E48"/>
  <c r="BT47"/>
  <c r="BS47"/>
  <c r="BR47"/>
  <c r="BQ47"/>
  <c r="BM47"/>
  <c r="BI47"/>
  <c r="AZ47"/>
  <c r="AY47"/>
  <c r="AX47"/>
  <c r="AW47"/>
  <c r="AS47"/>
  <c r="AO47"/>
  <c r="AF47"/>
  <c r="AE47"/>
  <c r="AD47"/>
  <c r="AC47"/>
  <c r="Y47"/>
  <c r="U47"/>
  <c r="P47"/>
  <c r="AJ47" s="1"/>
  <c r="O47"/>
  <c r="N47"/>
  <c r="M47"/>
  <c r="I47"/>
  <c r="E47"/>
  <c r="BT46"/>
  <c r="BS46"/>
  <c r="BR46"/>
  <c r="BQ46"/>
  <c r="BM46"/>
  <c r="BI46"/>
  <c r="AZ46"/>
  <c r="AY46"/>
  <c r="AX46"/>
  <c r="AW46"/>
  <c r="AS46"/>
  <c r="AO46"/>
  <c r="AF46"/>
  <c r="AE46"/>
  <c r="AD46"/>
  <c r="AC46"/>
  <c r="Y46"/>
  <c r="U46"/>
  <c r="P46"/>
  <c r="O46"/>
  <c r="AI46" s="1"/>
  <c r="BC46" s="1"/>
  <c r="N46"/>
  <c r="M46"/>
  <c r="I46"/>
  <c r="E46"/>
  <c r="BT45"/>
  <c r="BS45"/>
  <c r="BR45"/>
  <c r="BQ45"/>
  <c r="BM45"/>
  <c r="BI45"/>
  <c r="AZ45"/>
  <c r="AY45"/>
  <c r="AX45"/>
  <c r="AW45"/>
  <c r="AS45"/>
  <c r="AO45"/>
  <c r="AF45"/>
  <c r="AE45"/>
  <c r="AD45"/>
  <c r="AC45"/>
  <c r="Y45"/>
  <c r="U45"/>
  <c r="P45"/>
  <c r="O45"/>
  <c r="AI45" s="1"/>
  <c r="BC45" s="1"/>
  <c r="N45"/>
  <c r="M45"/>
  <c r="I45"/>
  <c r="E45"/>
  <c r="BP44"/>
  <c r="BO44"/>
  <c r="BN44"/>
  <c r="BL44"/>
  <c r="BK44"/>
  <c r="BJ44"/>
  <c r="BH44"/>
  <c r="BG44"/>
  <c r="BF44"/>
  <c r="AV44"/>
  <c r="AU44"/>
  <c r="AT44"/>
  <c r="AR44"/>
  <c r="AQ44"/>
  <c r="AP44"/>
  <c r="AN44"/>
  <c r="AM44"/>
  <c r="AL44"/>
  <c r="AB44"/>
  <c r="AA44"/>
  <c r="Z44"/>
  <c r="X44"/>
  <c r="W44"/>
  <c r="V44"/>
  <c r="T44"/>
  <c r="S44"/>
  <c r="R44"/>
  <c r="L44"/>
  <c r="K44"/>
  <c r="J44"/>
  <c r="H44"/>
  <c r="G44"/>
  <c r="F44"/>
  <c r="D44"/>
  <c r="C44"/>
  <c r="B44"/>
  <c r="BT43"/>
  <c r="BS43"/>
  <c r="BR43"/>
  <c r="BQ43"/>
  <c r="BM43"/>
  <c r="BI43"/>
  <c r="AZ43"/>
  <c r="AY43"/>
  <c r="AX43"/>
  <c r="AW43"/>
  <c r="AS43"/>
  <c r="AO43"/>
  <c r="AF43"/>
  <c r="AE43"/>
  <c r="AD43"/>
  <c r="AC43"/>
  <c r="Y43"/>
  <c r="U43"/>
  <c r="P43"/>
  <c r="O43"/>
  <c r="AI43" s="1"/>
  <c r="BC43" s="1"/>
  <c r="N43"/>
  <c r="M43"/>
  <c r="I43"/>
  <c r="E43"/>
  <c r="BT42"/>
  <c r="BS42"/>
  <c r="BR42"/>
  <c r="BQ42"/>
  <c r="BM42"/>
  <c r="BI42"/>
  <c r="AZ42"/>
  <c r="AY42"/>
  <c r="AX42"/>
  <c r="AW42"/>
  <c r="AS42"/>
  <c r="AO42"/>
  <c r="AF42"/>
  <c r="AE42"/>
  <c r="AD42"/>
  <c r="AC42"/>
  <c r="Y42"/>
  <c r="U42"/>
  <c r="P42"/>
  <c r="O42"/>
  <c r="AI42" s="1"/>
  <c r="BC42" s="1"/>
  <c r="BX42" s="1"/>
  <c r="N42"/>
  <c r="M42"/>
  <c r="I42"/>
  <c r="E42"/>
  <c r="BT41"/>
  <c r="BS41"/>
  <c r="BR41"/>
  <c r="BQ41"/>
  <c r="BM41"/>
  <c r="BI41"/>
  <c r="AZ41"/>
  <c r="AY41"/>
  <c r="AX41"/>
  <c r="AW41"/>
  <c r="AS41"/>
  <c r="AO41"/>
  <c r="AF41"/>
  <c r="AE41"/>
  <c r="AD41"/>
  <c r="AC41"/>
  <c r="Y41"/>
  <c r="U41"/>
  <c r="P41"/>
  <c r="O41"/>
  <c r="AI41" s="1"/>
  <c r="BC41" s="1"/>
  <c r="BX41" s="1"/>
  <c r="N41"/>
  <c r="M41"/>
  <c r="I41"/>
  <c r="E41"/>
  <c r="BT40"/>
  <c r="BS40"/>
  <c r="BR40"/>
  <c r="BQ40"/>
  <c r="BM40"/>
  <c r="BI40"/>
  <c r="AZ40"/>
  <c r="AY40"/>
  <c r="AX40"/>
  <c r="AW40"/>
  <c r="AS40"/>
  <c r="AO40"/>
  <c r="AF40"/>
  <c r="AE40"/>
  <c r="AD40"/>
  <c r="AC40"/>
  <c r="Y40"/>
  <c r="U40"/>
  <c r="P40"/>
  <c r="O40"/>
  <c r="AI40" s="1"/>
  <c r="BC40" s="1"/>
  <c r="BX40" s="1"/>
  <c r="N40"/>
  <c r="M40"/>
  <c r="I40"/>
  <c r="E40"/>
  <c r="BT39"/>
  <c r="BS39"/>
  <c r="BR39"/>
  <c r="BQ39"/>
  <c r="BM39"/>
  <c r="BI39"/>
  <c r="AZ39"/>
  <c r="AY39"/>
  <c r="AX39"/>
  <c r="AW39"/>
  <c r="AS39"/>
  <c r="AO39"/>
  <c r="AF39"/>
  <c r="AE39"/>
  <c r="AD39"/>
  <c r="AC39"/>
  <c r="Y39"/>
  <c r="U39"/>
  <c r="P39"/>
  <c r="AJ39" s="1"/>
  <c r="BD39" s="1"/>
  <c r="BY39" s="1"/>
  <c r="O39"/>
  <c r="N39"/>
  <c r="AH39" s="1"/>
  <c r="M39"/>
  <c r="I39"/>
  <c r="E39"/>
  <c r="BT37"/>
  <c r="BY37" s="1"/>
  <c r="BS37"/>
  <c r="BX37" s="1"/>
  <c r="BR37"/>
  <c r="BV37" s="1"/>
  <c r="BQ37"/>
  <c r="BT36"/>
  <c r="BS36"/>
  <c r="BR36"/>
  <c r="BQ36"/>
  <c r="BM36"/>
  <c r="BI36"/>
  <c r="AZ36"/>
  <c r="AY36"/>
  <c r="AX36"/>
  <c r="AW36"/>
  <c r="AS36"/>
  <c r="AO36"/>
  <c r="AF36"/>
  <c r="AE36"/>
  <c r="AD36"/>
  <c r="AC36"/>
  <c r="Y36"/>
  <c r="U36"/>
  <c r="P36"/>
  <c r="AJ36" s="1"/>
  <c r="BD36" s="1"/>
  <c r="BY36" s="1"/>
  <c r="O36"/>
  <c r="N36"/>
  <c r="AH36" s="1"/>
  <c r="M36"/>
  <c r="I36"/>
  <c r="E36"/>
  <c r="BT35"/>
  <c r="BS35"/>
  <c r="BR35"/>
  <c r="BQ35"/>
  <c r="BM35"/>
  <c r="BI35"/>
  <c r="AZ35"/>
  <c r="AY35"/>
  <c r="AX35"/>
  <c r="AW35"/>
  <c r="AS35"/>
  <c r="AO35"/>
  <c r="AF35"/>
  <c r="AE35"/>
  <c r="AD35"/>
  <c r="AC35"/>
  <c r="Y35"/>
  <c r="U35"/>
  <c r="P35"/>
  <c r="AJ35" s="1"/>
  <c r="BD35" s="1"/>
  <c r="BY35" s="1"/>
  <c r="O35"/>
  <c r="N35"/>
  <c r="AH35" s="1"/>
  <c r="M35"/>
  <c r="I35"/>
  <c r="E35"/>
  <c r="BT27"/>
  <c r="BS27"/>
  <c r="BR27"/>
  <c r="BQ27"/>
  <c r="BM27"/>
  <c r="BI27"/>
  <c r="AZ27"/>
  <c r="AY27"/>
  <c r="AX27"/>
  <c r="AW27"/>
  <c r="AS27"/>
  <c r="AO27"/>
  <c r="AF27"/>
  <c r="AE27"/>
  <c r="AD27"/>
  <c r="AC27"/>
  <c r="Y27"/>
  <c r="U27"/>
  <c r="P27"/>
  <c r="AJ27" s="1"/>
  <c r="BD27" s="1"/>
  <c r="BY27" s="1"/>
  <c r="O27"/>
  <c r="N27"/>
  <c r="AH27" s="1"/>
  <c r="M27"/>
  <c r="I27"/>
  <c r="E27"/>
  <c r="BT25"/>
  <c r="BS25"/>
  <c r="BR25"/>
  <c r="BQ25"/>
  <c r="BM25"/>
  <c r="BI25"/>
  <c r="AZ25"/>
  <c r="AY25"/>
  <c r="AX25"/>
  <c r="AW25"/>
  <c r="AS25"/>
  <c r="AO25"/>
  <c r="AF25"/>
  <c r="AE25"/>
  <c r="AD25"/>
  <c r="AC25"/>
  <c r="Y25"/>
  <c r="U25"/>
  <c r="P25"/>
  <c r="AJ25" s="1"/>
  <c r="BD25" s="1"/>
  <c r="BY25" s="1"/>
  <c r="O25"/>
  <c r="N25"/>
  <c r="AH25" s="1"/>
  <c r="M25"/>
  <c r="I25"/>
  <c r="E25"/>
  <c r="BT24"/>
  <c r="BS24"/>
  <c r="BR24"/>
  <c r="BQ24"/>
  <c r="BM24"/>
  <c r="BI24"/>
  <c r="AZ24"/>
  <c r="AY24"/>
  <c r="AX24"/>
  <c r="AW24"/>
  <c r="AS24"/>
  <c r="AO24"/>
  <c r="AF24"/>
  <c r="AE24"/>
  <c r="AD24"/>
  <c r="AC24"/>
  <c r="Y24"/>
  <c r="U24"/>
  <c r="P24"/>
  <c r="O24"/>
  <c r="N24"/>
  <c r="M24"/>
  <c r="I24"/>
  <c r="E24"/>
  <c r="BT28"/>
  <c r="BS28"/>
  <c r="BR28"/>
  <c r="BQ28"/>
  <c r="BM28"/>
  <c r="BI28"/>
  <c r="AZ28"/>
  <c r="AY28"/>
  <c r="AX28"/>
  <c r="AW28"/>
  <c r="AS28"/>
  <c r="AO28"/>
  <c r="AF28"/>
  <c r="AE28"/>
  <c r="AD28"/>
  <c r="AC28"/>
  <c r="Y28"/>
  <c r="U28"/>
  <c r="P28"/>
  <c r="O28"/>
  <c r="N28"/>
  <c r="M28"/>
  <c r="I28"/>
  <c r="E28"/>
  <c r="BT31"/>
  <c r="BS31"/>
  <c r="BR31"/>
  <c r="BQ31"/>
  <c r="BM31"/>
  <c r="BI31"/>
  <c r="AZ31"/>
  <c r="AY31"/>
  <c r="AX31"/>
  <c r="AW31"/>
  <c r="AS31"/>
  <c r="AO31"/>
  <c r="AF31"/>
  <c r="AE31"/>
  <c r="AD31"/>
  <c r="AC31"/>
  <c r="Y31"/>
  <c r="U31"/>
  <c r="P31"/>
  <c r="O31"/>
  <c r="N31"/>
  <c r="M31"/>
  <c r="I31"/>
  <c r="E31"/>
  <c r="BT34"/>
  <c r="BS34"/>
  <c r="BR34"/>
  <c r="BQ34"/>
  <c r="BM34"/>
  <c r="BI34"/>
  <c r="AZ34"/>
  <c r="AY34"/>
  <c r="AX34"/>
  <c r="AW34"/>
  <c r="AS34"/>
  <c r="AO34"/>
  <c r="AF34"/>
  <c r="AE34"/>
  <c r="AD34"/>
  <c r="AC34"/>
  <c r="Y34"/>
  <c r="U34"/>
  <c r="P34"/>
  <c r="O34"/>
  <c r="N34"/>
  <c r="M34"/>
  <c r="I34"/>
  <c r="E34"/>
  <c r="BT30"/>
  <c r="BS30"/>
  <c r="BR30"/>
  <c r="BQ30"/>
  <c r="BM30"/>
  <c r="BI30"/>
  <c r="AZ30"/>
  <c r="AY30"/>
  <c r="AX30"/>
  <c r="AW30"/>
  <c r="AS30"/>
  <c r="AO30"/>
  <c r="AF30"/>
  <c r="AE30"/>
  <c r="AD30"/>
  <c r="AC30"/>
  <c r="Y30"/>
  <c r="U30"/>
  <c r="P30"/>
  <c r="O30"/>
  <c r="N30"/>
  <c r="M30"/>
  <c r="I30"/>
  <c r="E30"/>
  <c r="BT23"/>
  <c r="BS23"/>
  <c r="BR23"/>
  <c r="BQ23"/>
  <c r="BM23"/>
  <c r="BI23"/>
  <c r="AZ23"/>
  <c r="AY23"/>
  <c r="AX23"/>
  <c r="AW23"/>
  <c r="AS23"/>
  <c r="AO23"/>
  <c r="AF23"/>
  <c r="AE23"/>
  <c r="AD23"/>
  <c r="AC23"/>
  <c r="Y23"/>
  <c r="U23"/>
  <c r="P23"/>
  <c r="AJ23" s="1"/>
  <c r="BD23" s="1"/>
  <c r="BY23" s="1"/>
  <c r="O23"/>
  <c r="N23"/>
  <c r="AH23" s="1"/>
  <c r="M23"/>
  <c r="I23"/>
  <c r="E23"/>
  <c r="BT33"/>
  <c r="BS33"/>
  <c r="BR33"/>
  <c r="BQ33"/>
  <c r="BM33"/>
  <c r="BI33"/>
  <c r="AZ33"/>
  <c r="AY33"/>
  <c r="AX33"/>
  <c r="AW33"/>
  <c r="AS33"/>
  <c r="AO33"/>
  <c r="AF33"/>
  <c r="AE33"/>
  <c r="AD33"/>
  <c r="AC33"/>
  <c r="Y33"/>
  <c r="U33"/>
  <c r="P33"/>
  <c r="O33"/>
  <c r="N33"/>
  <c r="M33"/>
  <c r="I33"/>
  <c r="E33"/>
  <c r="BT32"/>
  <c r="BS32"/>
  <c r="BR32"/>
  <c r="BQ32"/>
  <c r="BM32"/>
  <c r="BI32"/>
  <c r="AZ32"/>
  <c r="AY32"/>
  <c r="AX32"/>
  <c r="AW32"/>
  <c r="AS32"/>
  <c r="AO32"/>
  <c r="AF32"/>
  <c r="AE32"/>
  <c r="AD32"/>
  <c r="AC32"/>
  <c r="Y32"/>
  <c r="U32"/>
  <c r="P32"/>
  <c r="O32"/>
  <c r="N32"/>
  <c r="M32"/>
  <c r="I32"/>
  <c r="E32"/>
  <c r="BT21"/>
  <c r="BS21"/>
  <c r="BR21"/>
  <c r="BQ21"/>
  <c r="BM21"/>
  <c r="BI21"/>
  <c r="AZ21"/>
  <c r="AY21"/>
  <c r="AX21"/>
  <c r="AW21"/>
  <c r="AS21"/>
  <c r="AO21"/>
  <c r="AF21"/>
  <c r="AE21"/>
  <c r="AD21"/>
  <c r="AC21"/>
  <c r="Y21"/>
  <c r="U21"/>
  <c r="P21"/>
  <c r="O21"/>
  <c r="N21"/>
  <c r="M21"/>
  <c r="I21"/>
  <c r="E21"/>
  <c r="BT20"/>
  <c r="BS20"/>
  <c r="BR20"/>
  <c r="BQ20"/>
  <c r="BM20"/>
  <c r="BI20"/>
  <c r="AZ20"/>
  <c r="AY20"/>
  <c r="AX20"/>
  <c r="AW20"/>
  <c r="AS20"/>
  <c r="AO20"/>
  <c r="AF20"/>
  <c r="AE20"/>
  <c r="AD20"/>
  <c r="AC20"/>
  <c r="Y20"/>
  <c r="U20"/>
  <c r="P20"/>
  <c r="O20"/>
  <c r="AI20" s="1"/>
  <c r="N20"/>
  <c r="AH20" s="1"/>
  <c r="M20"/>
  <c r="I20"/>
  <c r="E20"/>
  <c r="BT19"/>
  <c r="BS19"/>
  <c r="BR19"/>
  <c r="BQ19"/>
  <c r="BM19"/>
  <c r="BI19"/>
  <c r="AZ19"/>
  <c r="AY19"/>
  <c r="AX19"/>
  <c r="AW19"/>
  <c r="AS19"/>
  <c r="AO19"/>
  <c r="AF19"/>
  <c r="AE19"/>
  <c r="AD19"/>
  <c r="AC19"/>
  <c r="Y19"/>
  <c r="U19"/>
  <c r="P19"/>
  <c r="O19"/>
  <c r="AI19" s="1"/>
  <c r="N19"/>
  <c r="AH19" s="1"/>
  <c r="M19"/>
  <c r="I19"/>
  <c r="E19"/>
  <c r="BT18"/>
  <c r="BS18"/>
  <c r="BR18"/>
  <c r="BQ18"/>
  <c r="BM18"/>
  <c r="BI18"/>
  <c r="AZ18"/>
  <c r="AY18"/>
  <c r="AX18"/>
  <c r="AW18"/>
  <c r="AS18"/>
  <c r="AO18"/>
  <c r="AF18"/>
  <c r="AE18"/>
  <c r="AD18"/>
  <c r="AC18"/>
  <c r="Y18"/>
  <c r="U18"/>
  <c r="P18"/>
  <c r="O18"/>
  <c r="AI18" s="1"/>
  <c r="N18"/>
  <c r="AH18" s="1"/>
  <c r="M18"/>
  <c r="I18"/>
  <c r="E18"/>
  <c r="BT17"/>
  <c r="BS17"/>
  <c r="BR17"/>
  <c r="BQ17"/>
  <c r="BM17"/>
  <c r="BI17"/>
  <c r="AZ17"/>
  <c r="AY17"/>
  <c r="AX17"/>
  <c r="AW17"/>
  <c r="AS17"/>
  <c r="AO17"/>
  <c r="AF17"/>
  <c r="AE17"/>
  <c r="AD17"/>
  <c r="AC17"/>
  <c r="Y17"/>
  <c r="U17"/>
  <c r="P17"/>
  <c r="O17"/>
  <c r="AI17" s="1"/>
  <c r="N17"/>
  <c r="AH17" s="1"/>
  <c r="M17"/>
  <c r="I17"/>
  <c r="E17"/>
  <c r="BT15"/>
  <c r="BS15"/>
  <c r="BR15"/>
  <c r="BQ15"/>
  <c r="BM15"/>
  <c r="BI15"/>
  <c r="AZ15"/>
  <c r="AY15"/>
  <c r="AX15"/>
  <c r="AW15"/>
  <c r="AS15"/>
  <c r="AO15"/>
  <c r="AF15"/>
  <c r="AE15"/>
  <c r="AD15"/>
  <c r="AC15"/>
  <c r="Y15"/>
  <c r="U15"/>
  <c r="P15"/>
  <c r="O15"/>
  <c r="AI15" s="1"/>
  <c r="N15"/>
  <c r="AH15" s="1"/>
  <c r="M15"/>
  <c r="I15"/>
  <c r="E15"/>
  <c r="BT14"/>
  <c r="BS14"/>
  <c r="BR14"/>
  <c r="BQ14"/>
  <c r="BM14"/>
  <c r="BI14"/>
  <c r="AZ14"/>
  <c r="AY14"/>
  <c r="AX14"/>
  <c r="AW14"/>
  <c r="AS14"/>
  <c r="AO14"/>
  <c r="AF14"/>
  <c r="AE14"/>
  <c r="AD14"/>
  <c r="AC14"/>
  <c r="Y14"/>
  <c r="U14"/>
  <c r="P14"/>
  <c r="AJ14" s="1"/>
  <c r="BD14" s="1"/>
  <c r="BY14" s="1"/>
  <c r="O14"/>
  <c r="AI14" s="1"/>
  <c r="BC14" s="1"/>
  <c r="BX14" s="1"/>
  <c r="N14"/>
  <c r="M14"/>
  <c r="I14"/>
  <c r="E14"/>
  <c r="BW13"/>
  <c r="BP12"/>
  <c r="BO12"/>
  <c r="BN12"/>
  <c r="BL12"/>
  <c r="BK12"/>
  <c r="BJ12"/>
  <c r="BH12"/>
  <c r="BG12"/>
  <c r="BF12"/>
  <c r="AV12"/>
  <c r="AU12"/>
  <c r="AT12"/>
  <c r="AR12"/>
  <c r="AQ12"/>
  <c r="AP12"/>
  <c r="AN12"/>
  <c r="AM12"/>
  <c r="AL12"/>
  <c r="AB12"/>
  <c r="AA12"/>
  <c r="Z12"/>
  <c r="X12"/>
  <c r="W12"/>
  <c r="V12"/>
  <c r="T12"/>
  <c r="S12"/>
  <c r="R12"/>
  <c r="L12"/>
  <c r="K12"/>
  <c r="J12"/>
  <c r="H12"/>
  <c r="G12"/>
  <c r="F12"/>
  <c r="D12"/>
  <c r="C12"/>
  <c r="B12"/>
  <c r="BT11"/>
  <c r="BS11"/>
  <c r="BR11"/>
  <c r="BQ11"/>
  <c r="BM11"/>
  <c r="BI11"/>
  <c r="AZ11"/>
  <c r="AY11"/>
  <c r="AX11"/>
  <c r="AW11"/>
  <c r="AS11"/>
  <c r="AO11"/>
  <c r="AF11"/>
  <c r="AE11"/>
  <c r="AD11"/>
  <c r="AC11"/>
  <c r="Y11"/>
  <c r="U11"/>
  <c r="P11"/>
  <c r="O11"/>
  <c r="N11"/>
  <c r="M11"/>
  <c r="I11"/>
  <c r="E11"/>
  <c r="BT9"/>
  <c r="BS9"/>
  <c r="BR9"/>
  <c r="BQ9"/>
  <c r="BM9"/>
  <c r="BI9"/>
  <c r="AZ9"/>
  <c r="AY9"/>
  <c r="AX9"/>
  <c r="AW9"/>
  <c r="AS9"/>
  <c r="AO9"/>
  <c r="AF9"/>
  <c r="AE9"/>
  <c r="AD9"/>
  <c r="AC9"/>
  <c r="Y9"/>
  <c r="U9"/>
  <c r="P9"/>
  <c r="AJ9" s="1"/>
  <c r="BD9" s="1"/>
  <c r="BY9" s="1"/>
  <c r="O9"/>
  <c r="N9"/>
  <c r="AH9" s="1"/>
  <c r="M9"/>
  <c r="I9"/>
  <c r="E9"/>
  <c r="BT8"/>
  <c r="BS8"/>
  <c r="BR8"/>
  <c r="BQ8"/>
  <c r="BM8"/>
  <c r="BI8"/>
  <c r="AZ8"/>
  <c r="AY8"/>
  <c r="AX8"/>
  <c r="AW8"/>
  <c r="AS8"/>
  <c r="AO8"/>
  <c r="AF8"/>
  <c r="AE8"/>
  <c r="AD8"/>
  <c r="AC8"/>
  <c r="Y8"/>
  <c r="U8"/>
  <c r="P8"/>
  <c r="AJ8" s="1"/>
  <c r="BD8" s="1"/>
  <c r="BY8" s="1"/>
  <c r="O8"/>
  <c r="N8"/>
  <c r="AH8" s="1"/>
  <c r="M8"/>
  <c r="I8"/>
  <c r="E8"/>
  <c r="BT7"/>
  <c r="BS7"/>
  <c r="BR7"/>
  <c r="BQ7"/>
  <c r="BM7"/>
  <c r="BI7"/>
  <c r="AZ7"/>
  <c r="AY7"/>
  <c r="AX7"/>
  <c r="AW7"/>
  <c r="AS7"/>
  <c r="AO7"/>
  <c r="AF7"/>
  <c r="AE7"/>
  <c r="AD7"/>
  <c r="AC7"/>
  <c r="Y7"/>
  <c r="U7"/>
  <c r="P7"/>
  <c r="AJ7" s="1"/>
  <c r="O7"/>
  <c r="N7"/>
  <c r="AH7" s="1"/>
  <c r="M7"/>
  <c r="I7"/>
  <c r="E7"/>
  <c r="BW6"/>
  <c r="BW58" s="1"/>
  <c r="BP6"/>
  <c r="BO6"/>
  <c r="BN6"/>
  <c r="BL6"/>
  <c r="BK6"/>
  <c r="BJ6"/>
  <c r="BH6"/>
  <c r="BG6"/>
  <c r="BF6"/>
  <c r="AV6"/>
  <c r="AU6"/>
  <c r="AT6"/>
  <c r="AR6"/>
  <c r="AQ6"/>
  <c r="AP6"/>
  <c r="AN6"/>
  <c r="AM6"/>
  <c r="AL6"/>
  <c r="AB6"/>
  <c r="AA6"/>
  <c r="Z6"/>
  <c r="X6"/>
  <c r="W6"/>
  <c r="V6"/>
  <c r="T6"/>
  <c r="S6"/>
  <c r="R6"/>
  <c r="L6"/>
  <c r="K6"/>
  <c r="J6"/>
  <c r="H6"/>
  <c r="G6"/>
  <c r="F6"/>
  <c r="D6"/>
  <c r="C6"/>
  <c r="B6"/>
  <c r="C58" l="1"/>
  <c r="F58"/>
  <c r="H58"/>
  <c r="K58"/>
  <c r="R58"/>
  <c r="T58"/>
  <c r="W58"/>
  <c r="Z58"/>
  <c r="AB58"/>
  <c r="AM58"/>
  <c r="AP58"/>
  <c r="AR58"/>
  <c r="AU58"/>
  <c r="BF58"/>
  <c r="BH58"/>
  <c r="BK58"/>
  <c r="BN58"/>
  <c r="BP58"/>
  <c r="B58"/>
  <c r="D58"/>
  <c r="G58"/>
  <c r="J58"/>
  <c r="L58"/>
  <c r="S58"/>
  <c r="V58"/>
  <c r="X58"/>
  <c r="AA58"/>
  <c r="AL58"/>
  <c r="AN58"/>
  <c r="AQ58"/>
  <c r="AT58"/>
  <c r="AV58"/>
  <c r="BG58"/>
  <c r="BJ58"/>
  <c r="BL58"/>
  <c r="BO58"/>
  <c r="AG7"/>
  <c r="BU7"/>
  <c r="BU8"/>
  <c r="BU9"/>
  <c r="BU11"/>
  <c r="O12"/>
  <c r="I12"/>
  <c r="AD12"/>
  <c r="AF12"/>
  <c r="AC12"/>
  <c r="AY12"/>
  <c r="AS12"/>
  <c r="BR12"/>
  <c r="BT12"/>
  <c r="BQ12"/>
  <c r="BA14"/>
  <c r="BC15"/>
  <c r="BX15" s="1"/>
  <c r="BU15"/>
  <c r="AG17"/>
  <c r="BA19"/>
  <c r="BC20"/>
  <c r="BX20" s="1"/>
  <c r="BU20"/>
  <c r="BU21"/>
  <c r="BU32"/>
  <c r="BU33"/>
  <c r="BA23"/>
  <c r="BU30"/>
  <c r="BU34"/>
  <c r="BU31"/>
  <c r="BU28"/>
  <c r="BU24"/>
  <c r="BA25"/>
  <c r="BA27"/>
  <c r="BA35"/>
  <c r="BA36"/>
  <c r="BZ37"/>
  <c r="BA39"/>
  <c r="AG40"/>
  <c r="BU40"/>
  <c r="AG41"/>
  <c r="BU41"/>
  <c r="AG42"/>
  <c r="BU42"/>
  <c r="AG43"/>
  <c r="BU43"/>
  <c r="O44"/>
  <c r="I44"/>
  <c r="U44"/>
  <c r="AF44"/>
  <c r="AC44"/>
  <c r="AY44"/>
  <c r="AS44"/>
  <c r="BI44"/>
  <c r="BT44"/>
  <c r="BQ44"/>
  <c r="AG45"/>
  <c r="BA45"/>
  <c r="AG46"/>
  <c r="BU46"/>
  <c r="BA47"/>
  <c r="BA48"/>
  <c r="AG49"/>
  <c r="BU49"/>
  <c r="AG51"/>
  <c r="BU51"/>
  <c r="BA17"/>
  <c r="BC18"/>
  <c r="BX18" s="1"/>
  <c r="BU18"/>
  <c r="AG19"/>
  <c r="AI8"/>
  <c r="BC8" s="1"/>
  <c r="BX8" s="1"/>
  <c r="AI9"/>
  <c r="BC9" s="1"/>
  <c r="BX9" s="1"/>
  <c r="AH11"/>
  <c r="BB11" s="1"/>
  <c r="AJ11"/>
  <c r="BD11" s="1"/>
  <c r="BY11" s="1"/>
  <c r="AJ17"/>
  <c r="BD17" s="1"/>
  <c r="BY17" s="1"/>
  <c r="AH21"/>
  <c r="BB21" s="1"/>
  <c r="AJ21"/>
  <c r="BD21" s="1"/>
  <c r="BY21" s="1"/>
  <c r="BZ21" s="1"/>
  <c r="AH32"/>
  <c r="BB32" s="1"/>
  <c r="AJ32"/>
  <c r="BD32" s="1"/>
  <c r="BY32" s="1"/>
  <c r="AH33"/>
  <c r="BB33" s="1"/>
  <c r="AJ33"/>
  <c r="BD33" s="1"/>
  <c r="BY33" s="1"/>
  <c r="AH30"/>
  <c r="BB30" s="1"/>
  <c r="AJ30"/>
  <c r="BD30" s="1"/>
  <c r="BY30" s="1"/>
  <c r="AH34"/>
  <c r="BB34" s="1"/>
  <c r="AJ34"/>
  <c r="BD34" s="1"/>
  <c r="BY34" s="1"/>
  <c r="AH31"/>
  <c r="BB31" s="1"/>
  <c r="AJ31"/>
  <c r="BD31" s="1"/>
  <c r="BY31" s="1"/>
  <c r="AH28"/>
  <c r="BB28" s="1"/>
  <c r="AJ28"/>
  <c r="BD28" s="1"/>
  <c r="BY28" s="1"/>
  <c r="AH24"/>
  <c r="BB24" s="1"/>
  <c r="AJ24"/>
  <c r="BD24" s="1"/>
  <c r="BY24" s="1"/>
  <c r="AJ40"/>
  <c r="BD40" s="1"/>
  <c r="BY40" s="1"/>
  <c r="AJ41"/>
  <c r="BD41" s="1"/>
  <c r="BY41" s="1"/>
  <c r="AJ42"/>
  <c r="BD42" s="1"/>
  <c r="BY42" s="1"/>
  <c r="AJ43"/>
  <c r="BD43" s="1"/>
  <c r="BY43" s="1"/>
  <c r="BZ43" s="1"/>
  <c r="AJ46"/>
  <c r="BD46" s="1"/>
  <c r="BY46" s="1"/>
  <c r="BZ46" s="1"/>
  <c r="CA46" s="1"/>
  <c r="BD47"/>
  <c r="BY47" s="1"/>
  <c r="BD48"/>
  <c r="BY48" s="1"/>
  <c r="AJ49"/>
  <c r="BD49" s="1"/>
  <c r="BY49" s="1"/>
  <c r="AJ51"/>
  <c r="BD51" s="1"/>
  <c r="BY51" s="1"/>
  <c r="BA7"/>
  <c r="BA8"/>
  <c r="BA9"/>
  <c r="Q11"/>
  <c r="BA11"/>
  <c r="AJ19"/>
  <c r="BD19" s="1"/>
  <c r="BY19" s="1"/>
  <c r="N12"/>
  <c r="P12"/>
  <c r="M12"/>
  <c r="AE12"/>
  <c r="Y12"/>
  <c r="AX12"/>
  <c r="AZ12"/>
  <c r="AW12"/>
  <c r="BS12"/>
  <c r="BM12"/>
  <c r="AH14"/>
  <c r="AK14" s="1"/>
  <c r="BU14"/>
  <c r="AG15"/>
  <c r="AJ15"/>
  <c r="BD15" s="1"/>
  <c r="BY15" s="1"/>
  <c r="BA15"/>
  <c r="BC17"/>
  <c r="BX17" s="1"/>
  <c r="BU17"/>
  <c r="AG18"/>
  <c r="AJ18"/>
  <c r="BD18" s="1"/>
  <c r="BY18" s="1"/>
  <c r="BA18"/>
  <c r="BC19"/>
  <c r="BX19" s="1"/>
  <c r="BU19"/>
  <c r="AG20"/>
  <c r="AJ20"/>
  <c r="BD20" s="1"/>
  <c r="BY20" s="1"/>
  <c r="BA20"/>
  <c r="Q21"/>
  <c r="BA21"/>
  <c r="Q32"/>
  <c r="BA32"/>
  <c r="Q33"/>
  <c r="BA33"/>
  <c r="AI23"/>
  <c r="BC23" s="1"/>
  <c r="BU23"/>
  <c r="Q30"/>
  <c r="BA30"/>
  <c r="Q34"/>
  <c r="BA34"/>
  <c r="Q31"/>
  <c r="BA31"/>
  <c r="Q28"/>
  <c r="BA28"/>
  <c r="Q24"/>
  <c r="BA24"/>
  <c r="AI25"/>
  <c r="BC25" s="1"/>
  <c r="BX25" s="1"/>
  <c r="BU25"/>
  <c r="AI27"/>
  <c r="BC27" s="1"/>
  <c r="BX27" s="1"/>
  <c r="BU27"/>
  <c r="AI35"/>
  <c r="BC35" s="1"/>
  <c r="BX35" s="1"/>
  <c r="BU35"/>
  <c r="AI36"/>
  <c r="BC36" s="1"/>
  <c r="BX36" s="1"/>
  <c r="BU36"/>
  <c r="AI39"/>
  <c r="BC39" s="1"/>
  <c r="BX39" s="1"/>
  <c r="BU39"/>
  <c r="BA40"/>
  <c r="BA41"/>
  <c r="BA42"/>
  <c r="BA43"/>
  <c r="E44"/>
  <c r="P44"/>
  <c r="M44"/>
  <c r="AE44"/>
  <c r="Y44"/>
  <c r="AO44"/>
  <c r="AZ44"/>
  <c r="AW44"/>
  <c r="BS44"/>
  <c r="BM44"/>
  <c r="BU45"/>
  <c r="BA46"/>
  <c r="AI47"/>
  <c r="BC47" s="1"/>
  <c r="BX47" s="1"/>
  <c r="BU47"/>
  <c r="AI48"/>
  <c r="BC48" s="1"/>
  <c r="BX48" s="1"/>
  <c r="BU48"/>
  <c r="BA49"/>
  <c r="BA51"/>
  <c r="BD7"/>
  <c r="AJ6"/>
  <c r="AH6"/>
  <c r="BB7"/>
  <c r="BB8"/>
  <c r="BB9"/>
  <c r="AD6"/>
  <c r="AX6"/>
  <c r="BR6"/>
  <c r="AI7"/>
  <c r="AK7" s="1"/>
  <c r="E6"/>
  <c r="I6"/>
  <c r="M6"/>
  <c r="O6"/>
  <c r="U6"/>
  <c r="Y6"/>
  <c r="AC6"/>
  <c r="AE6"/>
  <c r="AO6"/>
  <c r="AS6"/>
  <c r="AW6"/>
  <c r="AY6"/>
  <c r="BI6"/>
  <c r="BM6"/>
  <c r="BQ6"/>
  <c r="BS6"/>
  <c r="Q7"/>
  <c r="Q8"/>
  <c r="Q9"/>
  <c r="AG11"/>
  <c r="AI11"/>
  <c r="BC11" s="1"/>
  <c r="BX11" s="1"/>
  <c r="E12"/>
  <c r="U12"/>
  <c r="AO12"/>
  <c r="BI12"/>
  <c r="AG14"/>
  <c r="Q15"/>
  <c r="Q17"/>
  <c r="Q18"/>
  <c r="Q19"/>
  <c r="Q20"/>
  <c r="N6"/>
  <c r="P6"/>
  <c r="AF6"/>
  <c r="AZ6"/>
  <c r="BT6"/>
  <c r="AG8"/>
  <c r="AG9"/>
  <c r="Q14"/>
  <c r="BB15"/>
  <c r="BB17"/>
  <c r="BB18"/>
  <c r="BB19"/>
  <c r="BB20"/>
  <c r="BB23"/>
  <c r="BB25"/>
  <c r="BB27"/>
  <c r="BB35"/>
  <c r="BB36"/>
  <c r="BB39"/>
  <c r="AG21"/>
  <c r="AI21"/>
  <c r="BC21" s="1"/>
  <c r="AG32"/>
  <c r="AI32"/>
  <c r="BC32" s="1"/>
  <c r="BX32" s="1"/>
  <c r="AG33"/>
  <c r="AI33"/>
  <c r="BC33" s="1"/>
  <c r="BX33" s="1"/>
  <c r="Q23"/>
  <c r="AG30"/>
  <c r="AI30"/>
  <c r="BC30" s="1"/>
  <c r="BX30" s="1"/>
  <c r="AG34"/>
  <c r="AI34"/>
  <c r="BC34" s="1"/>
  <c r="BX34" s="1"/>
  <c r="AG31"/>
  <c r="AI31"/>
  <c r="BC31" s="1"/>
  <c r="BX31" s="1"/>
  <c r="AG28"/>
  <c r="AI28"/>
  <c r="BC28" s="1"/>
  <c r="BX28" s="1"/>
  <c r="AG24"/>
  <c r="AI24"/>
  <c r="BC24" s="1"/>
  <c r="Q25"/>
  <c r="Q27"/>
  <c r="Q35"/>
  <c r="Q36"/>
  <c r="BU37"/>
  <c r="Q39"/>
  <c r="AH40"/>
  <c r="AH41"/>
  <c r="AH42"/>
  <c r="AG23"/>
  <c r="AG25"/>
  <c r="AG27"/>
  <c r="AG35"/>
  <c r="AG36"/>
  <c r="AG39"/>
  <c r="Q40"/>
  <c r="Q41"/>
  <c r="Q42"/>
  <c r="Q43"/>
  <c r="AH43"/>
  <c r="N44"/>
  <c r="AD44"/>
  <c r="AX44"/>
  <c r="BR44"/>
  <c r="Q45"/>
  <c r="Q46"/>
  <c r="AG47"/>
  <c r="AG48"/>
  <c r="Q49"/>
  <c r="Q51"/>
  <c r="AH45"/>
  <c r="AJ45"/>
  <c r="BD45" s="1"/>
  <c r="BY45" s="1"/>
  <c r="AH46"/>
  <c r="AH47"/>
  <c r="Q47"/>
  <c r="AH48"/>
  <c r="Q48"/>
  <c r="AH49"/>
  <c r="AH51"/>
  <c r="BR58" l="1"/>
  <c r="AY58"/>
  <c r="BT58"/>
  <c r="AI12"/>
  <c r="BC12" s="1"/>
  <c r="AX58"/>
  <c r="AD58"/>
  <c r="AJ44"/>
  <c r="BD44" s="1"/>
  <c r="BY44" s="1"/>
  <c r="BS58"/>
  <c r="AE58"/>
  <c r="AG12"/>
  <c r="AK23"/>
  <c r="AK20"/>
  <c r="AK19"/>
  <c r="AK15"/>
  <c r="AC58"/>
  <c r="AK8"/>
  <c r="AH12"/>
  <c r="BB12" s="1"/>
  <c r="BU12"/>
  <c r="I58"/>
  <c r="BB14"/>
  <c r="BV14" s="1"/>
  <c r="AJ12"/>
  <c r="BD12" s="1"/>
  <c r="AI44"/>
  <c r="BC44" s="1"/>
  <c r="BX44" s="1"/>
  <c r="AK18"/>
  <c r="AK17"/>
  <c r="AZ58"/>
  <c r="P58"/>
  <c r="AS58"/>
  <c r="O58"/>
  <c r="BA12"/>
  <c r="AG44"/>
  <c r="AF58"/>
  <c r="BQ58"/>
  <c r="AK28"/>
  <c r="AK34"/>
  <c r="BU44"/>
  <c r="AK39"/>
  <c r="AK36"/>
  <c r="AK35"/>
  <c r="AK27"/>
  <c r="AK25"/>
  <c r="AK24"/>
  <c r="AK31"/>
  <c r="AK30"/>
  <c r="BM58"/>
  <c r="Y58"/>
  <c r="AK9"/>
  <c r="BX13"/>
  <c r="BY13"/>
  <c r="BA44"/>
  <c r="AW58"/>
  <c r="AO58"/>
  <c r="M58"/>
  <c r="E58"/>
  <c r="Q12"/>
  <c r="BB51"/>
  <c r="AK51"/>
  <c r="BB46"/>
  <c r="BE46" s="1"/>
  <c r="AK46"/>
  <c r="AK45"/>
  <c r="BB45"/>
  <c r="Q44"/>
  <c r="AH44"/>
  <c r="BB40"/>
  <c r="AK40"/>
  <c r="BB49"/>
  <c r="AK49"/>
  <c r="BB48"/>
  <c r="AK48"/>
  <c r="BB47"/>
  <c r="AK47"/>
  <c r="BB43"/>
  <c r="BE43" s="1"/>
  <c r="AK43"/>
  <c r="BB41"/>
  <c r="AK41"/>
  <c r="BV39"/>
  <c r="E28" i="81" s="1"/>
  <c r="BE39" i="87"/>
  <c r="BV36"/>
  <c r="BE36"/>
  <c r="BV35"/>
  <c r="BZ35" s="1"/>
  <c r="BE35"/>
  <c r="BV27"/>
  <c r="BE27"/>
  <c r="BV25"/>
  <c r="BE25"/>
  <c r="BV24"/>
  <c r="BE24"/>
  <c r="BV28"/>
  <c r="E20" i="81" s="1"/>
  <c r="BE28" i="87"/>
  <c r="BV31"/>
  <c r="BE31"/>
  <c r="BV34"/>
  <c r="BZ34" s="1"/>
  <c r="BE34"/>
  <c r="BV30"/>
  <c r="BE30"/>
  <c r="BV23"/>
  <c r="E11" i="81" s="1"/>
  <c r="BE23" i="87"/>
  <c r="BE20"/>
  <c r="BV20"/>
  <c r="BZ20" s="1"/>
  <c r="BE19"/>
  <c r="BV19"/>
  <c r="BZ19" s="1"/>
  <c r="BE18"/>
  <c r="BV18"/>
  <c r="BZ18" s="1"/>
  <c r="BE17"/>
  <c r="BV17"/>
  <c r="E9" i="81" s="1"/>
  <c r="BE15" i="87"/>
  <c r="BV15"/>
  <c r="N58"/>
  <c r="Q6"/>
  <c r="BV33"/>
  <c r="BZ33" s="1"/>
  <c r="BE33"/>
  <c r="BV32"/>
  <c r="BZ32" s="1"/>
  <c r="BE32"/>
  <c r="BE21"/>
  <c r="BC7"/>
  <c r="BE7" s="1"/>
  <c r="AI6"/>
  <c r="BV9"/>
  <c r="BE9"/>
  <c r="BV8"/>
  <c r="BE8"/>
  <c r="BB6"/>
  <c r="BV7"/>
  <c r="AK11"/>
  <c r="BB42"/>
  <c r="AK42"/>
  <c r="AK33"/>
  <c r="AK32"/>
  <c r="AK21"/>
  <c r="BI58"/>
  <c r="U58"/>
  <c r="BU6"/>
  <c r="BA6"/>
  <c r="AG6"/>
  <c r="BV11"/>
  <c r="BZ11" s="1"/>
  <c r="BE11"/>
  <c r="BD6"/>
  <c r="BY7"/>
  <c r="BY6" s="1"/>
  <c r="CF48" s="1"/>
  <c r="I48" i="43" l="1"/>
  <c r="D8" i="60"/>
  <c r="E5" i="81"/>
  <c r="E4" s="1"/>
  <c r="BV13" i="87"/>
  <c r="BZ30"/>
  <c r="E21" i="81"/>
  <c r="BA58" i="87"/>
  <c r="AI58"/>
  <c r="BC58" s="1"/>
  <c r="BX58" s="1"/>
  <c r="BU58"/>
  <c r="BE14"/>
  <c r="AG58"/>
  <c r="AH58"/>
  <c r="BB58" s="1"/>
  <c r="BZ31"/>
  <c r="AK6"/>
  <c r="BE12"/>
  <c r="AK12"/>
  <c r="AJ58"/>
  <c r="BD58" s="1"/>
  <c r="BY58" s="1"/>
  <c r="BZ24"/>
  <c r="E13" i="81"/>
  <c r="Q58" i="87"/>
  <c r="BZ15"/>
  <c r="E6" i="81"/>
  <c r="BZ17" i="87"/>
  <c r="BZ23"/>
  <c r="BZ28"/>
  <c r="BZ25"/>
  <c r="E16" i="81"/>
  <c r="BZ27" i="87"/>
  <c r="E18" i="81"/>
  <c r="BZ36" i="87"/>
  <c r="BV6"/>
  <c r="BZ14"/>
  <c r="BV42"/>
  <c r="BE42"/>
  <c r="BE6"/>
  <c r="BZ8"/>
  <c r="CA8"/>
  <c r="BZ9"/>
  <c r="CA9"/>
  <c r="BC6"/>
  <c r="BX7"/>
  <c r="BX6" s="1"/>
  <c r="AK44"/>
  <c r="BB44"/>
  <c r="BE44" s="1"/>
  <c r="BV45"/>
  <c r="BE45"/>
  <c r="BZ39"/>
  <c r="BV41"/>
  <c r="BE41"/>
  <c r="BV47"/>
  <c r="BZ47" s="1"/>
  <c r="BE47"/>
  <c r="BV48"/>
  <c r="BE48"/>
  <c r="BE49"/>
  <c r="BV49"/>
  <c r="BZ49" s="1"/>
  <c r="BV40"/>
  <c r="BE40"/>
  <c r="BE51"/>
  <c r="BV51"/>
  <c r="BZ51" s="1"/>
  <c r="F8" i="60" l="1"/>
  <c r="E10" i="81"/>
  <c r="BE58" i="87"/>
  <c r="AK58"/>
  <c r="BZ40"/>
  <c r="E30" i="81"/>
  <c r="BZ48" i="87"/>
  <c r="BZ41"/>
  <c r="E39" i="81"/>
  <c r="BZ42" i="87"/>
  <c r="E29" i="81"/>
  <c r="D9" i="60" s="1"/>
  <c r="F9" s="1"/>
  <c r="BZ45" i="87"/>
  <c r="BV44"/>
  <c r="CB9"/>
  <c r="CB8"/>
  <c r="CA7"/>
  <c r="BV58"/>
  <c r="BZ58" s="1"/>
  <c r="CA6"/>
  <c r="BZ7"/>
  <c r="BZ6" s="1"/>
  <c r="D19" i="60" l="1"/>
  <c r="BZ13" i="87"/>
  <c r="CB6"/>
  <c r="BZ44"/>
  <c r="BV38"/>
  <c r="BV12" s="1"/>
  <c r="CB7"/>
  <c r="E24" i="81" l="1"/>
  <c r="E8" l="1"/>
  <c r="E3" s="1"/>
  <c r="E42" s="1"/>
  <c r="K7" i="79"/>
  <c r="L7" s="1"/>
  <c r="I7" l="1"/>
  <c r="H7"/>
  <c r="F17" i="55"/>
  <c r="F18"/>
  <c r="H8" i="79" l="1"/>
  <c r="I8" s="1"/>
  <c r="C64" i="61" l="1"/>
  <c r="B64"/>
  <c r="B42" s="1"/>
  <c r="B40" s="1"/>
  <c r="B47" l="1"/>
  <c r="B46" l="1"/>
  <c r="C46" i="85" l="1"/>
  <c r="O34"/>
  <c r="P33"/>
  <c r="O33"/>
  <c r="P34"/>
  <c r="K39" i="43"/>
  <c r="Q33" i="85" l="1"/>
  <c r="S33" s="1"/>
  <c r="D21" i="63" l="1"/>
  <c r="E19"/>
  <c r="E20"/>
  <c r="D22"/>
  <c r="D16"/>
  <c r="D125" i="43"/>
  <c r="D14" i="63" s="1"/>
  <c r="D104" i="43"/>
  <c r="D20" i="63" l="1"/>
  <c r="D19"/>
  <c r="H19" s="1"/>
  <c r="D103" i="43"/>
  <c r="I108"/>
  <c r="E10" i="63" s="1"/>
  <c r="E8" s="1"/>
  <c r="D108" i="43"/>
  <c r="D10" i="63" s="1"/>
  <c r="D8" l="1"/>
  <c r="D13"/>
  <c r="C12" i="65"/>
  <c r="C41" i="66"/>
  <c r="C47" s="1"/>
  <c r="O126" i="86" l="1"/>
  <c r="O127"/>
  <c r="O47"/>
  <c r="O48"/>
  <c r="O49"/>
  <c r="D145" i="4"/>
  <c r="D124"/>
  <c r="E124"/>
  <c r="D125"/>
  <c r="E125"/>
  <c r="D126"/>
  <c r="E126"/>
  <c r="D127"/>
  <c r="E127"/>
  <c r="D128"/>
  <c r="E128"/>
  <c r="D129"/>
  <c r="E129"/>
  <c r="C124"/>
  <c r="C125"/>
  <c r="C126"/>
  <c r="C127"/>
  <c r="C128"/>
  <c r="C129"/>
  <c r="C85"/>
  <c r="D85"/>
  <c r="E85"/>
  <c r="F85"/>
  <c r="G85"/>
  <c r="H85" s="1"/>
  <c r="E84"/>
  <c r="D84"/>
  <c r="C84"/>
  <c r="F111"/>
  <c r="F38"/>
  <c r="F9"/>
  <c r="E6" i="75"/>
  <c r="O102" i="86" l="1"/>
  <c r="J92"/>
  <c r="J93"/>
  <c r="J53"/>
  <c r="H147"/>
  <c r="G147" s="1"/>
  <c r="H145"/>
  <c r="G145" s="1"/>
  <c r="H143"/>
  <c r="G143" s="1"/>
  <c r="H141"/>
  <c r="G141" s="1"/>
  <c r="H139"/>
  <c r="G139" s="1"/>
  <c r="H137"/>
  <c r="G137" s="1"/>
  <c r="H133"/>
  <c r="G133" s="1"/>
  <c r="H131"/>
  <c r="G131" s="1"/>
  <c r="H123"/>
  <c r="G123" s="1"/>
  <c r="H121"/>
  <c r="G121" s="1"/>
  <c r="H119"/>
  <c r="G119" s="1"/>
  <c r="H117"/>
  <c r="G117" s="1"/>
  <c r="H115"/>
  <c r="G115" s="1"/>
  <c r="H113"/>
  <c r="G113" s="1"/>
  <c r="H111"/>
  <c r="G111" s="1"/>
  <c r="H109"/>
  <c r="G109" s="1"/>
  <c r="H100"/>
  <c r="G100" s="1"/>
  <c r="H98"/>
  <c r="G98" s="1"/>
  <c r="H56"/>
  <c r="G56" s="1"/>
  <c r="H60"/>
  <c r="G60" s="1"/>
  <c r="H64"/>
  <c r="G64" s="1"/>
  <c r="H68"/>
  <c r="G68" s="1"/>
  <c r="H72"/>
  <c r="G72" s="1"/>
  <c r="H76"/>
  <c r="G76" s="1"/>
  <c r="H80"/>
  <c r="G80" s="1"/>
  <c r="H84"/>
  <c r="G84" s="1"/>
  <c r="H88"/>
  <c r="G88" s="1"/>
  <c r="H51"/>
  <c r="G51" s="1"/>
  <c r="H29"/>
  <c r="G29" s="1"/>
  <c r="H33"/>
  <c r="G33" s="1"/>
  <c r="H37"/>
  <c r="G37" s="1"/>
  <c r="H41"/>
  <c r="G41" s="1"/>
  <c r="H45"/>
  <c r="G45" s="1"/>
  <c r="H22"/>
  <c r="G22" s="1"/>
  <c r="H55"/>
  <c r="G55" s="1"/>
  <c r="AD75" i="32"/>
  <c r="AE62"/>
  <c r="B43"/>
  <c r="B44"/>
  <c r="B45"/>
  <c r="B46"/>
  <c r="B42"/>
  <c r="AF49"/>
  <c r="AE76"/>
  <c r="AD76"/>
  <c r="AC76"/>
  <c r="AC75"/>
  <c r="AB72"/>
  <c r="AF71"/>
  <c r="AF70" s="1"/>
  <c r="AE71"/>
  <c r="AD70"/>
  <c r="AC70"/>
  <c r="AB69"/>
  <c r="AB68"/>
  <c r="AF67"/>
  <c r="AE67"/>
  <c r="AD67"/>
  <c r="AC67"/>
  <c r="AB66"/>
  <c r="AB65"/>
  <c r="AF64"/>
  <c r="AE64"/>
  <c r="AD64"/>
  <c r="AC64"/>
  <c r="AB64"/>
  <c r="AF63"/>
  <c r="AF76" s="1"/>
  <c r="AF62"/>
  <c r="AC61"/>
  <c r="AF57"/>
  <c r="AE57"/>
  <c r="AD57"/>
  <c r="AC57"/>
  <c r="AB55"/>
  <c r="AB54"/>
  <c r="AB53"/>
  <c r="AB57" s="1"/>
  <c r="AE49"/>
  <c r="AB32"/>
  <c r="AB31"/>
  <c r="AB30"/>
  <c r="AF29"/>
  <c r="AE29"/>
  <c r="AD29"/>
  <c r="AC29"/>
  <c r="AB29" s="1"/>
  <c r="AB28"/>
  <c r="AB27"/>
  <c r="AB26"/>
  <c r="AB25"/>
  <c r="AF24"/>
  <c r="AE24"/>
  <c r="AD24"/>
  <c r="AC24"/>
  <c r="AB24" s="1"/>
  <c r="AB23"/>
  <c r="AB22"/>
  <c r="AD20"/>
  <c r="AD19" s="1"/>
  <c r="AC20"/>
  <c r="AC19"/>
  <c r="AB18"/>
  <c r="AB14"/>
  <c r="AF13"/>
  <c r="AD13"/>
  <c r="AC13"/>
  <c r="AB12"/>
  <c r="AF75" l="1"/>
  <c r="AF74" s="1"/>
  <c r="J22" i="86"/>
  <c r="F7" i="4"/>
  <c r="J41" i="86"/>
  <c r="F26" i="4"/>
  <c r="J51" i="86"/>
  <c r="F36" i="4"/>
  <c r="J84" i="86"/>
  <c r="F69" i="4"/>
  <c r="J76" i="86"/>
  <c r="F61" i="4"/>
  <c r="J68" i="86"/>
  <c r="F53" i="4"/>
  <c r="J60" i="86"/>
  <c r="F45" i="4"/>
  <c r="J98" i="86"/>
  <c r="F81" i="4"/>
  <c r="J109" i="86"/>
  <c r="F95" i="4"/>
  <c r="J113" i="86"/>
  <c r="F99" i="4"/>
  <c r="J117" i="86"/>
  <c r="F103" i="4"/>
  <c r="J121" i="86"/>
  <c r="F107" i="4"/>
  <c r="J131" i="86"/>
  <c r="F117" i="4"/>
  <c r="J137" i="86"/>
  <c r="F123" i="4"/>
  <c r="J141" i="86"/>
  <c r="F127" i="4"/>
  <c r="J145" i="86"/>
  <c r="F131" i="4"/>
  <c r="J33" i="86"/>
  <c r="F18" i="4"/>
  <c r="AD36" i="32"/>
  <c r="AB67"/>
  <c r="AC74"/>
  <c r="J55" i="86"/>
  <c r="F40" i="4"/>
  <c r="J45" i="86"/>
  <c r="F30" i="4"/>
  <c r="J37" i="86"/>
  <c r="F22" i="4"/>
  <c r="J29" i="86"/>
  <c r="F14" i="4"/>
  <c r="J88" i="86"/>
  <c r="F73" i="4"/>
  <c r="J80" i="86"/>
  <c r="F65" i="4"/>
  <c r="J72" i="86"/>
  <c r="F57" i="4"/>
  <c r="J64" i="86"/>
  <c r="F49" i="4"/>
  <c r="J56" i="86"/>
  <c r="F41" i="4"/>
  <c r="J100" i="86"/>
  <c r="F83" i="4"/>
  <c r="J111" i="86"/>
  <c r="F97" i="4"/>
  <c r="J115" i="86"/>
  <c r="F101" i="4"/>
  <c r="J119" i="86"/>
  <c r="F105" i="4"/>
  <c r="J123" i="86"/>
  <c r="F109" i="4"/>
  <c r="J133" i="86"/>
  <c r="F119" i="4"/>
  <c r="J139" i="86"/>
  <c r="F125" i="4"/>
  <c r="J143" i="86"/>
  <c r="F129" i="4"/>
  <c r="J147" i="86"/>
  <c r="F133" i="4"/>
  <c r="H145"/>
  <c r="P93" i="86"/>
  <c r="P92"/>
  <c r="AF61" i="32"/>
  <c r="AB63"/>
  <c r="AB71"/>
  <c r="AE75"/>
  <c r="H25" i="86"/>
  <c r="G25" s="1"/>
  <c r="H43"/>
  <c r="G43" s="1"/>
  <c r="H39"/>
  <c r="G39" s="1"/>
  <c r="H35"/>
  <c r="G35" s="1"/>
  <c r="H31"/>
  <c r="G31" s="1"/>
  <c r="H27"/>
  <c r="G27" s="1"/>
  <c r="H54"/>
  <c r="G54" s="1"/>
  <c r="H86"/>
  <c r="G86" s="1"/>
  <c r="H82"/>
  <c r="G82" s="1"/>
  <c r="H78"/>
  <c r="G78" s="1"/>
  <c r="H74"/>
  <c r="G74" s="1"/>
  <c r="H70"/>
  <c r="G70" s="1"/>
  <c r="H66"/>
  <c r="G66" s="1"/>
  <c r="H62"/>
  <c r="G62" s="1"/>
  <c r="H58"/>
  <c r="G58" s="1"/>
  <c r="H90"/>
  <c r="G90" s="1"/>
  <c r="H99"/>
  <c r="G99" s="1"/>
  <c r="H101"/>
  <c r="G101" s="1"/>
  <c r="H110"/>
  <c r="G110" s="1"/>
  <c r="H112"/>
  <c r="G112" s="1"/>
  <c r="H114"/>
  <c r="G114" s="1"/>
  <c r="H116"/>
  <c r="G116" s="1"/>
  <c r="H118"/>
  <c r="G118" s="1"/>
  <c r="H120"/>
  <c r="G120" s="1"/>
  <c r="H122"/>
  <c r="G122" s="1"/>
  <c r="H124"/>
  <c r="G124" s="1"/>
  <c r="H130"/>
  <c r="G130" s="1"/>
  <c r="H132"/>
  <c r="G132" s="1"/>
  <c r="H134"/>
  <c r="G134" s="1"/>
  <c r="H136"/>
  <c r="G136" s="1"/>
  <c r="H138"/>
  <c r="G138" s="1"/>
  <c r="H140"/>
  <c r="G140" s="1"/>
  <c r="H142"/>
  <c r="G142" s="1"/>
  <c r="H144"/>
  <c r="G144" s="1"/>
  <c r="H146"/>
  <c r="G146" s="1"/>
  <c r="H148"/>
  <c r="G148" s="1"/>
  <c r="H23"/>
  <c r="G23" s="1"/>
  <c r="H46"/>
  <c r="G46" s="1"/>
  <c r="H44"/>
  <c r="G44" s="1"/>
  <c r="H42"/>
  <c r="G42" s="1"/>
  <c r="H40"/>
  <c r="G40" s="1"/>
  <c r="H38"/>
  <c r="G38" s="1"/>
  <c r="H36"/>
  <c r="G36" s="1"/>
  <c r="H34"/>
  <c r="G34" s="1"/>
  <c r="H32"/>
  <c r="G32" s="1"/>
  <c r="H30"/>
  <c r="G30" s="1"/>
  <c r="H28"/>
  <c r="G28" s="1"/>
  <c r="H26"/>
  <c r="G26" s="1"/>
  <c r="H52"/>
  <c r="G52" s="1"/>
  <c r="H89"/>
  <c r="G89" s="1"/>
  <c r="H87"/>
  <c r="G87" s="1"/>
  <c r="H85"/>
  <c r="G85" s="1"/>
  <c r="H83"/>
  <c r="G83" s="1"/>
  <c r="H81"/>
  <c r="G81" s="1"/>
  <c r="H79"/>
  <c r="G79" s="1"/>
  <c r="H77"/>
  <c r="G77" s="1"/>
  <c r="H75"/>
  <c r="G75" s="1"/>
  <c r="H73"/>
  <c r="G73" s="1"/>
  <c r="H71"/>
  <c r="G71" s="1"/>
  <c r="H69"/>
  <c r="G69" s="1"/>
  <c r="H67"/>
  <c r="G67" s="1"/>
  <c r="H65"/>
  <c r="G65" s="1"/>
  <c r="H63"/>
  <c r="G63" s="1"/>
  <c r="H61"/>
  <c r="G61" s="1"/>
  <c r="H59"/>
  <c r="G59" s="1"/>
  <c r="H57"/>
  <c r="G57" s="1"/>
  <c r="AD74" i="32"/>
  <c r="AD61"/>
  <c r="AB75"/>
  <c r="AE74"/>
  <c r="AB76"/>
  <c r="AC36"/>
  <c r="AE61"/>
  <c r="AB62"/>
  <c r="AE70"/>
  <c r="AB70" s="1"/>
  <c r="J59" i="86" l="1"/>
  <c r="F44" i="4"/>
  <c r="J63" i="86"/>
  <c r="F48" i="4"/>
  <c r="J67" i="86"/>
  <c r="F52" i="4"/>
  <c r="J71" i="86"/>
  <c r="F56" i="4"/>
  <c r="J75" i="86"/>
  <c r="F60" i="4"/>
  <c r="J79" i="86"/>
  <c r="F64" i="4"/>
  <c r="J83" i="86"/>
  <c r="F68" i="4"/>
  <c r="J87" i="86"/>
  <c r="F72" i="4"/>
  <c r="J52" i="86"/>
  <c r="F37" i="4"/>
  <c r="J28" i="86"/>
  <c r="F13" i="4"/>
  <c r="J32" i="86"/>
  <c r="F17" i="4"/>
  <c r="J36" i="86"/>
  <c r="F21" i="4"/>
  <c r="J40" i="86"/>
  <c r="F25" i="4"/>
  <c r="J44" i="86"/>
  <c r="F29" i="4"/>
  <c r="J23" i="86"/>
  <c r="F8" i="4"/>
  <c r="J146" i="86"/>
  <c r="F132" i="4"/>
  <c r="J142" i="86"/>
  <c r="F128" i="4"/>
  <c r="J138" i="86"/>
  <c r="F124" i="4"/>
  <c r="J134" i="86"/>
  <c r="F120" i="4"/>
  <c r="J130" i="86"/>
  <c r="F116" i="4"/>
  <c r="J122" i="86"/>
  <c r="F108" i="4"/>
  <c r="J118" i="86"/>
  <c r="F104" i="4"/>
  <c r="J114" i="86"/>
  <c r="F100" i="4"/>
  <c r="J110" i="86"/>
  <c r="O110" s="1"/>
  <c r="F96" i="4"/>
  <c r="J99" i="86"/>
  <c r="F82" i="4"/>
  <c r="J58" i="86"/>
  <c r="F43" i="4"/>
  <c r="J66" i="86"/>
  <c r="F51" i="4"/>
  <c r="J74" i="86"/>
  <c r="F59" i="4"/>
  <c r="J82" i="86"/>
  <c r="F67" i="4"/>
  <c r="J54" i="86"/>
  <c r="F39" i="4"/>
  <c r="J31" i="86"/>
  <c r="F16" i="4"/>
  <c r="J39" i="86"/>
  <c r="F24" i="4"/>
  <c r="J25" i="86"/>
  <c r="F10" i="4"/>
  <c r="G129"/>
  <c r="H129" s="1"/>
  <c r="G125"/>
  <c r="H125" s="1"/>
  <c r="J57" i="86"/>
  <c r="F42" i="4"/>
  <c r="J61" i="86"/>
  <c r="F46" i="4"/>
  <c r="J65" i="86"/>
  <c r="F50" i="4"/>
  <c r="J69" i="86"/>
  <c r="F54" i="4"/>
  <c r="J73" i="86"/>
  <c r="F58" i="4"/>
  <c r="J77" i="86"/>
  <c r="F62" i="4"/>
  <c r="J81" i="86"/>
  <c r="F66" i="4"/>
  <c r="J85" i="86"/>
  <c r="F70" i="4"/>
  <c r="J89" i="86"/>
  <c r="F74" i="4"/>
  <c r="J26" i="86"/>
  <c r="F11" i="4"/>
  <c r="J30" i="86"/>
  <c r="F15" i="4"/>
  <c r="J34" i="86"/>
  <c r="F19" i="4"/>
  <c r="J38" i="86"/>
  <c r="F23" i="4"/>
  <c r="J42" i="86"/>
  <c r="F27" i="4"/>
  <c r="J46" i="86"/>
  <c r="F31" i="4"/>
  <c r="J148" i="86"/>
  <c r="F134" i="4"/>
  <c r="J144" i="86"/>
  <c r="F130" i="4"/>
  <c r="J140" i="86"/>
  <c r="F126" i="4"/>
  <c r="J136" i="86"/>
  <c r="F122" i="4"/>
  <c r="J132" i="86"/>
  <c r="F118" i="4"/>
  <c r="J124" i="86"/>
  <c r="F110" i="4"/>
  <c r="J120" i="86"/>
  <c r="F106" i="4"/>
  <c r="J116" i="86"/>
  <c r="F102" i="4"/>
  <c r="J112" i="86"/>
  <c r="F98" i="4"/>
  <c r="J101" i="86"/>
  <c r="F84" i="4"/>
  <c r="J90" i="86"/>
  <c r="F75" i="4"/>
  <c r="J62" i="86"/>
  <c r="F47" i="4"/>
  <c r="J70" i="86"/>
  <c r="F55" i="4"/>
  <c r="J78" i="86"/>
  <c r="F63" i="4"/>
  <c r="J86" i="86"/>
  <c r="F71" i="4"/>
  <c r="F12"/>
  <c r="J27" i="86"/>
  <c r="J35"/>
  <c r="F20" i="4"/>
  <c r="J43" i="86"/>
  <c r="F28" i="4"/>
  <c r="G127"/>
  <c r="H127" s="1"/>
  <c r="AB74" i="32"/>
  <c r="AB61"/>
  <c r="G89" i="80"/>
  <c r="K131" i="43" s="1"/>
  <c r="I89" i="80"/>
  <c r="O79"/>
  <c r="N79"/>
  <c r="K79"/>
  <c r="J79"/>
  <c r="I79"/>
  <c r="I77" s="1"/>
  <c r="G79"/>
  <c r="F79"/>
  <c r="O78"/>
  <c r="N78"/>
  <c r="M78"/>
  <c r="L78"/>
  <c r="K78"/>
  <c r="J78"/>
  <c r="I78"/>
  <c r="H78"/>
  <c r="G78"/>
  <c r="F78"/>
  <c r="F77" s="1"/>
  <c r="W77" s="1"/>
  <c r="E78"/>
  <c r="D78"/>
  <c r="O77"/>
  <c r="N77"/>
  <c r="K77"/>
  <c r="J77"/>
  <c r="G77"/>
  <c r="X77" s="1"/>
  <c r="H76"/>
  <c r="E76"/>
  <c r="AF21" i="27" s="1"/>
  <c r="AF20" s="1"/>
  <c r="AF19" s="1"/>
  <c r="D76" i="80"/>
  <c r="L76" s="1"/>
  <c r="L74" s="1"/>
  <c r="O74"/>
  <c r="N74"/>
  <c r="K74"/>
  <c r="J74"/>
  <c r="I74"/>
  <c r="H74"/>
  <c r="G74"/>
  <c r="X74" s="1"/>
  <c r="F74"/>
  <c r="W74" s="1"/>
  <c r="E74"/>
  <c r="D74"/>
  <c r="U74" s="1"/>
  <c r="L73"/>
  <c r="L79" s="1"/>
  <c r="L77" s="1"/>
  <c r="H73"/>
  <c r="H79" s="1"/>
  <c r="H77" s="1"/>
  <c r="E73"/>
  <c r="D73"/>
  <c r="D79" s="1"/>
  <c r="D77" s="1"/>
  <c r="O71"/>
  <c r="N71"/>
  <c r="K71"/>
  <c r="J71"/>
  <c r="I71"/>
  <c r="H71"/>
  <c r="G71"/>
  <c r="X71" s="1"/>
  <c r="F71"/>
  <c r="W71" s="1"/>
  <c r="E71"/>
  <c r="D71"/>
  <c r="O68"/>
  <c r="N68"/>
  <c r="M68"/>
  <c r="L68"/>
  <c r="K68"/>
  <c r="J68"/>
  <c r="I68"/>
  <c r="H68"/>
  <c r="G68"/>
  <c r="X68" s="1"/>
  <c r="F68"/>
  <c r="W68" s="1"/>
  <c r="E68"/>
  <c r="V68" s="1"/>
  <c r="D68"/>
  <c r="U68" s="1"/>
  <c r="O65"/>
  <c r="N65"/>
  <c r="M65"/>
  <c r="L65"/>
  <c r="K65"/>
  <c r="J65"/>
  <c r="I65"/>
  <c r="H65"/>
  <c r="G65"/>
  <c r="X65" s="1"/>
  <c r="F65"/>
  <c r="W65" s="1"/>
  <c r="E65"/>
  <c r="V65" s="1"/>
  <c r="D65"/>
  <c r="U65" s="1"/>
  <c r="O60"/>
  <c r="N60"/>
  <c r="K60"/>
  <c r="J60"/>
  <c r="G60"/>
  <c r="F60"/>
  <c r="O59"/>
  <c r="N59"/>
  <c r="M59"/>
  <c r="L59"/>
  <c r="K59"/>
  <c r="J59"/>
  <c r="I59"/>
  <c r="H59"/>
  <c r="G59"/>
  <c r="F59"/>
  <c r="E59"/>
  <c r="D59"/>
  <c r="O58"/>
  <c r="N58"/>
  <c r="K58"/>
  <c r="J58"/>
  <c r="G58"/>
  <c r="X58" s="1"/>
  <c r="F58"/>
  <c r="W58" s="1"/>
  <c r="I57"/>
  <c r="H57"/>
  <c r="E57"/>
  <c r="M57" s="1"/>
  <c r="M55" s="1"/>
  <c r="D57"/>
  <c r="L57" s="1"/>
  <c r="L55" s="1"/>
  <c r="O55"/>
  <c r="N55"/>
  <c r="K55"/>
  <c r="J55"/>
  <c r="I55"/>
  <c r="H55"/>
  <c r="G55"/>
  <c r="X55" s="1"/>
  <c r="F55"/>
  <c r="W55" s="1"/>
  <c r="E55"/>
  <c r="V55" s="1"/>
  <c r="D55"/>
  <c r="U55" s="1"/>
  <c r="I54"/>
  <c r="I60" s="1"/>
  <c r="I58" s="1"/>
  <c r="D115" s="1"/>
  <c r="H54"/>
  <c r="H60" s="1"/>
  <c r="H58" s="1"/>
  <c r="E54"/>
  <c r="E60" s="1"/>
  <c r="E58" s="1"/>
  <c r="D54"/>
  <c r="D60" s="1"/>
  <c r="D58" s="1"/>
  <c r="O52"/>
  <c r="N52"/>
  <c r="K52"/>
  <c r="J52"/>
  <c r="I52"/>
  <c r="H52"/>
  <c r="G52"/>
  <c r="X52" s="1"/>
  <c r="F52"/>
  <c r="W52" s="1"/>
  <c r="E52"/>
  <c r="D52"/>
  <c r="O49"/>
  <c r="N49"/>
  <c r="M49"/>
  <c r="L49"/>
  <c r="K49"/>
  <c r="J49"/>
  <c r="I49"/>
  <c r="H49"/>
  <c r="G49"/>
  <c r="X49" s="1"/>
  <c r="F49"/>
  <c r="W49" s="1"/>
  <c r="E49"/>
  <c r="V49" s="1"/>
  <c r="D49"/>
  <c r="U49" s="1"/>
  <c r="O46"/>
  <c r="N46"/>
  <c r="M46"/>
  <c r="L46"/>
  <c r="K46"/>
  <c r="J46"/>
  <c r="I46"/>
  <c r="H46"/>
  <c r="G46"/>
  <c r="X46" s="1"/>
  <c r="F46"/>
  <c r="W46" s="1"/>
  <c r="E46"/>
  <c r="V46" s="1"/>
  <c r="D46"/>
  <c r="U46" s="1"/>
  <c r="M41"/>
  <c r="L41"/>
  <c r="N41" s="1"/>
  <c r="O40"/>
  <c r="N40"/>
  <c r="O39"/>
  <c r="N39"/>
  <c r="M38"/>
  <c r="L38"/>
  <c r="K38"/>
  <c r="J38"/>
  <c r="I38"/>
  <c r="H38"/>
  <c r="G38"/>
  <c r="F38"/>
  <c r="E38"/>
  <c r="O38" s="1"/>
  <c r="D38"/>
  <c r="N38" s="1"/>
  <c r="K37"/>
  <c r="AD43" i="27" s="1"/>
  <c r="AD44" i="32" s="1"/>
  <c r="J37" i="80"/>
  <c r="G37"/>
  <c r="G35" s="1"/>
  <c r="F37"/>
  <c r="D37"/>
  <c r="N37" s="1"/>
  <c r="I36"/>
  <c r="H36"/>
  <c r="H35" s="1"/>
  <c r="D36"/>
  <c r="M35"/>
  <c r="L35"/>
  <c r="K35"/>
  <c r="J35"/>
  <c r="I35"/>
  <c r="F35"/>
  <c r="N35" s="1"/>
  <c r="O34"/>
  <c r="N34"/>
  <c r="M33"/>
  <c r="L33"/>
  <c r="K33"/>
  <c r="J33"/>
  <c r="I33"/>
  <c r="H33"/>
  <c r="G33"/>
  <c r="F33"/>
  <c r="E33"/>
  <c r="O33" s="1"/>
  <c r="D33"/>
  <c r="N33" s="1"/>
  <c r="O32"/>
  <c r="N32"/>
  <c r="M31"/>
  <c r="L31"/>
  <c r="K31"/>
  <c r="J31"/>
  <c r="I31"/>
  <c r="F31"/>
  <c r="E31"/>
  <c r="AE15" i="27" s="1"/>
  <c r="AE15" i="32" s="1"/>
  <c r="D31" i="80"/>
  <c r="S26"/>
  <c r="L26"/>
  <c r="E26" s="1"/>
  <c r="V26" s="1"/>
  <c r="K25"/>
  <c r="M25" s="1"/>
  <c r="J25"/>
  <c r="N25" s="1"/>
  <c r="N23" s="1"/>
  <c r="I25"/>
  <c r="O25" s="1"/>
  <c r="O23" s="1"/>
  <c r="H25"/>
  <c r="P25" s="1"/>
  <c r="P23" s="1"/>
  <c r="G25"/>
  <c r="Q25" s="1"/>
  <c r="Q23" s="1"/>
  <c r="F25"/>
  <c r="R25" s="1"/>
  <c r="R23" s="1"/>
  <c r="D25"/>
  <c r="D23" s="1"/>
  <c r="D18" s="1"/>
  <c r="S24"/>
  <c r="L24"/>
  <c r="E24" s="1"/>
  <c r="V24" s="1"/>
  <c r="J23"/>
  <c r="H23"/>
  <c r="F23"/>
  <c r="K21"/>
  <c r="M21" s="1"/>
  <c r="J21"/>
  <c r="N21" s="1"/>
  <c r="N19" s="1"/>
  <c r="I21"/>
  <c r="O21" s="1"/>
  <c r="O19" s="1"/>
  <c r="H21"/>
  <c r="P21" s="1"/>
  <c r="P19" s="1"/>
  <c r="G21"/>
  <c r="Q21" s="1"/>
  <c r="Q19" s="1"/>
  <c r="F21"/>
  <c r="S20"/>
  <c r="L20"/>
  <c r="E20"/>
  <c r="V20" s="1"/>
  <c r="J19"/>
  <c r="H19"/>
  <c r="F19"/>
  <c r="D19"/>
  <c r="J18"/>
  <c r="F18"/>
  <c r="S16"/>
  <c r="L16"/>
  <c r="E16"/>
  <c r="V16" s="1"/>
  <c r="K15"/>
  <c r="K13" s="1"/>
  <c r="J15"/>
  <c r="N15" s="1"/>
  <c r="N13" s="1"/>
  <c r="I15"/>
  <c r="I13" s="1"/>
  <c r="H15"/>
  <c r="P15" s="1"/>
  <c r="P13" s="1"/>
  <c r="G15"/>
  <c r="G13" s="1"/>
  <c r="F15"/>
  <c r="R15" s="1"/>
  <c r="R13" s="1"/>
  <c r="D15"/>
  <c r="S14"/>
  <c r="L14"/>
  <c r="J13"/>
  <c r="F13"/>
  <c r="D13"/>
  <c r="K11"/>
  <c r="K9" s="1"/>
  <c r="J11"/>
  <c r="N11" s="1"/>
  <c r="I11"/>
  <c r="H11"/>
  <c r="P11" s="1"/>
  <c r="G11"/>
  <c r="F11"/>
  <c r="R11" s="1"/>
  <c r="D11"/>
  <c r="D9" s="1"/>
  <c r="S10"/>
  <c r="L10"/>
  <c r="E10" s="1"/>
  <c r="V10" s="1"/>
  <c r="R9"/>
  <c r="P9"/>
  <c r="N9"/>
  <c r="J9"/>
  <c r="H9"/>
  <c r="F9"/>
  <c r="K8"/>
  <c r="AF75" i="27"/>
  <c r="AE75"/>
  <c r="AD75"/>
  <c r="AC75"/>
  <c r="AF74"/>
  <c r="AE74"/>
  <c r="AD74"/>
  <c r="AD73" s="1"/>
  <c r="AC74"/>
  <c r="AF73"/>
  <c r="AB71"/>
  <c r="AB70"/>
  <c r="AF69"/>
  <c r="AE69"/>
  <c r="AD69"/>
  <c r="AC69"/>
  <c r="AB68"/>
  <c r="AB67"/>
  <c r="AF66"/>
  <c r="AE66"/>
  <c r="AD66"/>
  <c r="AC66"/>
  <c r="AB66"/>
  <c r="AB65"/>
  <c r="AB64"/>
  <c r="AF63"/>
  <c r="AE63"/>
  <c r="AD63"/>
  <c r="AC63"/>
  <c r="AB62"/>
  <c r="AB61"/>
  <c r="AF60"/>
  <c r="AE60"/>
  <c r="AD60"/>
  <c r="AC60"/>
  <c r="AF55"/>
  <c r="AE55"/>
  <c r="AD55"/>
  <c r="AC55"/>
  <c r="AB53"/>
  <c r="AB52"/>
  <c r="AB51"/>
  <c r="AF45"/>
  <c r="AB43"/>
  <c r="AB32"/>
  <c r="AB31"/>
  <c r="AB30"/>
  <c r="AF29"/>
  <c r="AE29"/>
  <c r="AD29"/>
  <c r="AC29"/>
  <c r="AB28"/>
  <c r="AB27"/>
  <c r="AB26"/>
  <c r="AB25"/>
  <c r="AF24"/>
  <c r="AE24"/>
  <c r="AD24"/>
  <c r="AD19" s="1"/>
  <c r="AC24"/>
  <c r="AB23"/>
  <c r="AB22"/>
  <c r="AD20"/>
  <c r="AC20"/>
  <c r="AB18"/>
  <c r="AB14"/>
  <c r="AF13"/>
  <c r="AD13"/>
  <c r="AC13"/>
  <c r="AB12"/>
  <c r="AB15" l="1"/>
  <c r="O141" i="86"/>
  <c r="O139"/>
  <c r="O143"/>
  <c r="O35" i="80"/>
  <c r="G31"/>
  <c r="AE16" i="27" s="1"/>
  <c r="J22" i="80"/>
  <c r="O36"/>
  <c r="AC42" i="27"/>
  <c r="AB15" i="32"/>
  <c r="AB63" i="27"/>
  <c r="AB55"/>
  <c r="E14" i="63"/>
  <c r="E16"/>
  <c r="H13" i="80"/>
  <c r="L13" s="1"/>
  <c r="K127" i="43" s="1"/>
  <c r="E14" i="80"/>
  <c r="V14" s="1"/>
  <c r="H18"/>
  <c r="H22" s="1"/>
  <c r="D22"/>
  <c r="G19"/>
  <c r="I19"/>
  <c r="L19" s="1"/>
  <c r="K19"/>
  <c r="R19"/>
  <c r="R18" s="1"/>
  <c r="R22" s="1"/>
  <c r="R21"/>
  <c r="G23"/>
  <c r="L23" s="1"/>
  <c r="I23"/>
  <c r="K23"/>
  <c r="K18" s="1"/>
  <c r="K22" s="1"/>
  <c r="N31"/>
  <c r="H31"/>
  <c r="O37"/>
  <c r="AD41" i="27"/>
  <c r="O41" i="80"/>
  <c r="AE44" i="27"/>
  <c r="M73" i="80"/>
  <c r="Q73"/>
  <c r="Z9" s="1"/>
  <c r="Q76"/>
  <c r="Z12" s="1"/>
  <c r="M76"/>
  <c r="M74" s="1"/>
  <c r="V74" s="1"/>
  <c r="E115"/>
  <c r="AE21" i="27"/>
  <c r="AE20" s="1"/>
  <c r="AE19" s="1"/>
  <c r="G84" i="4"/>
  <c r="H84" s="1"/>
  <c r="G126"/>
  <c r="H126" s="1"/>
  <c r="G124"/>
  <c r="H124" s="1"/>
  <c r="G128"/>
  <c r="H128" s="1"/>
  <c r="AF21" i="32"/>
  <c r="AF20" s="1"/>
  <c r="AB60" i="27"/>
  <c r="AB75"/>
  <c r="AC36"/>
  <c r="AB24"/>
  <c r="AB29"/>
  <c r="AD36"/>
  <c r="AB69"/>
  <c r="AB74"/>
  <c r="AE73"/>
  <c r="M79" i="80"/>
  <c r="M77" s="1"/>
  <c r="M71"/>
  <c r="V71" s="1"/>
  <c r="U77"/>
  <c r="E79"/>
  <c r="E77" s="1"/>
  <c r="L71"/>
  <c r="U71" s="1"/>
  <c r="O31"/>
  <c r="N36"/>
  <c r="M54"/>
  <c r="L54"/>
  <c r="F8"/>
  <c r="F12" s="1"/>
  <c r="J8"/>
  <c r="J12" s="1"/>
  <c r="N8"/>
  <c r="N12" s="1"/>
  <c r="R8"/>
  <c r="R12" s="1"/>
  <c r="G9"/>
  <c r="L9" s="1"/>
  <c r="Y9" s="1"/>
  <c r="K117" i="43" s="1"/>
  <c r="Q11" i="80"/>
  <c r="Q9" s="1"/>
  <c r="I9"/>
  <c r="O11"/>
  <c r="O9" s="1"/>
  <c r="K12"/>
  <c r="Q18"/>
  <c r="Q22" s="1"/>
  <c r="O18"/>
  <c r="O22" s="1"/>
  <c r="S21"/>
  <c r="M19"/>
  <c r="M23"/>
  <c r="S23" s="1"/>
  <c r="S25"/>
  <c r="D8"/>
  <c r="E7" i="63" s="1"/>
  <c r="D12" i="80"/>
  <c r="H8"/>
  <c r="H12"/>
  <c r="P8"/>
  <c r="P12" s="1"/>
  <c r="P18"/>
  <c r="P22" s="1"/>
  <c r="N18"/>
  <c r="N22" s="1"/>
  <c r="M11"/>
  <c r="M15"/>
  <c r="O15"/>
  <c r="O13" s="1"/>
  <c r="Q15"/>
  <c r="Q13" s="1"/>
  <c r="F22"/>
  <c r="L11"/>
  <c r="L15"/>
  <c r="I18"/>
  <c r="I22" s="1"/>
  <c r="L21"/>
  <c r="E21" s="1"/>
  <c r="V21" s="1"/>
  <c r="L25"/>
  <c r="AF36" i="27"/>
  <c r="AC19"/>
  <c r="AB42"/>
  <c r="AC73"/>
  <c r="AB21" l="1"/>
  <c r="AM20" s="1"/>
  <c r="AB20"/>
  <c r="AE36"/>
  <c r="AB36" s="1"/>
  <c r="AE21" i="32"/>
  <c r="AE20" s="1"/>
  <c r="K154" i="43"/>
  <c r="K122"/>
  <c r="K112" s="1"/>
  <c r="AE45" i="32"/>
  <c r="AB44" i="27"/>
  <c r="AD42" i="32"/>
  <c r="AD49" s="1"/>
  <c r="AD45" i="27"/>
  <c r="AD46" i="32" s="1"/>
  <c r="AB73" i="27"/>
  <c r="AB41"/>
  <c r="AB45" s="1"/>
  <c r="E25" i="80"/>
  <c r="G18"/>
  <c r="L18" s="1"/>
  <c r="Y12"/>
  <c r="K118" i="43" s="1"/>
  <c r="K123" s="1"/>
  <c r="K113" s="1"/>
  <c r="E23" i="80"/>
  <c r="V23" s="1"/>
  <c r="V77"/>
  <c r="AE45" i="27"/>
  <c r="AE46" i="32" s="1"/>
  <c r="O142" i="86"/>
  <c r="O138"/>
  <c r="O140"/>
  <c r="O101"/>
  <c r="AC43" i="32"/>
  <c r="AC49" s="1"/>
  <c r="AC45" i="27"/>
  <c r="AC46" i="32" s="1"/>
  <c r="AE16"/>
  <c r="AB16" i="27"/>
  <c r="AE13"/>
  <c r="AB13" s="1"/>
  <c r="AF19" i="32"/>
  <c r="AF36"/>
  <c r="AB21"/>
  <c r="AN20" i="27"/>
  <c r="AO20" s="1"/>
  <c r="M60" i="80"/>
  <c r="M58" s="1"/>
  <c r="V58" s="1"/>
  <c r="M52"/>
  <c r="V52" s="1"/>
  <c r="L60"/>
  <c r="L58" s="1"/>
  <c r="U58" s="1"/>
  <c r="L52"/>
  <c r="U52" s="1"/>
  <c r="L22"/>
  <c r="M13"/>
  <c r="S13" s="1"/>
  <c r="S15"/>
  <c r="O8"/>
  <c r="O12" s="1"/>
  <c r="Q8"/>
  <c r="Q12" s="1"/>
  <c r="E15"/>
  <c r="V15" s="1"/>
  <c r="M9"/>
  <c r="S11"/>
  <c r="E11" s="1"/>
  <c r="M18"/>
  <c r="S18" s="1"/>
  <c r="E18" s="1"/>
  <c r="V18" s="1"/>
  <c r="S19"/>
  <c r="I8"/>
  <c r="I12" s="1"/>
  <c r="G8"/>
  <c r="G12" s="1"/>
  <c r="AB19" i="27"/>
  <c r="I51" i="18"/>
  <c r="I50"/>
  <c r="V11" i="80" l="1"/>
  <c r="AN19" i="27"/>
  <c r="AN16"/>
  <c r="I52" i="18"/>
  <c r="M22" i="80"/>
  <c r="G22"/>
  <c r="E13"/>
  <c r="V13" s="1"/>
  <c r="K128" i="43"/>
  <c r="K126" s="1"/>
  <c r="AB16" i="32"/>
  <c r="AE13"/>
  <c r="AB13" s="1"/>
  <c r="V25" i="80"/>
  <c r="K130" i="43"/>
  <c r="K114"/>
  <c r="AE36" i="32"/>
  <c r="AB36" s="1"/>
  <c r="AB20"/>
  <c r="AE19"/>
  <c r="S22" i="80"/>
  <c r="E19"/>
  <c r="S9"/>
  <c r="S12" s="1"/>
  <c r="M8"/>
  <c r="S8" s="1"/>
  <c r="K104" i="43" s="1"/>
  <c r="K107" s="1"/>
  <c r="L8" i="80"/>
  <c r="K103" i="43" s="1"/>
  <c r="K106" s="1"/>
  <c r="AF17" i="27" l="1"/>
  <c r="AE17"/>
  <c r="AB19" i="32"/>
  <c r="E8" i="80"/>
  <c r="V8" s="1"/>
  <c r="L12"/>
  <c r="E9"/>
  <c r="E12" s="1"/>
  <c r="E22"/>
  <c r="V19"/>
  <c r="M12"/>
  <c r="AE17" i="32" l="1"/>
  <c r="AB17" i="27"/>
  <c r="AB4" s="1"/>
  <c r="AF17" i="32"/>
  <c r="AF7" s="1"/>
  <c r="AF7" i="27"/>
  <c r="V9" i="80"/>
  <c r="G10" i="60"/>
  <c r="K31" i="43"/>
  <c r="AF8" i="27" l="1"/>
  <c r="AF11" s="1"/>
  <c r="AE7" s="1"/>
  <c r="AF18"/>
  <c r="AF35"/>
  <c r="AF34" s="1"/>
  <c r="AF18" i="32"/>
  <c r="AF8"/>
  <c r="AF11" s="1"/>
  <c r="AE7" s="1"/>
  <c r="AF35"/>
  <c r="AF34" s="1"/>
  <c r="AB17"/>
  <c r="E30" i="43"/>
  <c r="E28" s="1"/>
  <c r="H30"/>
  <c r="H28" s="1"/>
  <c r="AE18" i="32" l="1"/>
  <c r="AE8"/>
  <c r="AE10" s="1"/>
  <c r="AD7" s="1"/>
  <c r="AE35"/>
  <c r="AE34" s="1"/>
  <c r="AE18" i="27"/>
  <c r="AE35"/>
  <c r="AE34" s="1"/>
  <c r="AE8"/>
  <c r="AE10" s="1"/>
  <c r="AD7" s="1"/>
  <c r="AD35" l="1"/>
  <c r="AD34" s="1"/>
  <c r="AD8"/>
  <c r="AD9" s="1"/>
  <c r="AC7" s="1"/>
  <c r="AD18"/>
  <c r="AD18" i="32"/>
  <c r="AD8"/>
  <c r="AD9" s="1"/>
  <c r="AC7" s="1"/>
  <c r="AD35"/>
  <c r="AD34" s="1"/>
  <c r="D18" i="43"/>
  <c r="AC35" i="27" l="1"/>
  <c r="AC18"/>
  <c r="AC18" i="32"/>
  <c r="AC35"/>
  <c r="E7" i="60"/>
  <c r="E8"/>
  <c r="E9"/>
  <c r="E10"/>
  <c r="E11"/>
  <c r="E12"/>
  <c r="E13"/>
  <c r="E14"/>
  <c r="E15"/>
  <c r="E16"/>
  <c r="E17"/>
  <c r="E18"/>
  <c r="AB35" i="32" l="1"/>
  <c r="AC34"/>
  <c r="AB34" s="1"/>
  <c r="AB35" i="27"/>
  <c r="AC34"/>
  <c r="AB34" s="1"/>
  <c r="E10" i="69"/>
  <c r="I135" i="86"/>
  <c r="I129"/>
  <c r="H129" l="1"/>
  <c r="G129" s="1"/>
  <c r="H135"/>
  <c r="G135" s="1"/>
  <c r="B7" i="19"/>
  <c r="C7" s="1"/>
  <c r="D7" s="1"/>
  <c r="E7" s="1"/>
  <c r="F7" s="1"/>
  <c r="G7" s="1"/>
  <c r="H7" s="1"/>
  <c r="I7" s="1"/>
  <c r="J7" s="1"/>
  <c r="K7" s="1"/>
  <c r="L7" s="1"/>
  <c r="M7" s="1"/>
  <c r="N7" s="1"/>
  <c r="O7" s="1"/>
  <c r="P7" s="1"/>
  <c r="Q7" s="1"/>
  <c r="R7" s="1"/>
  <c r="S7" s="1"/>
  <c r="T7" s="1"/>
  <c r="U7" s="1"/>
  <c r="V7" s="1"/>
  <c r="W7" s="1"/>
  <c r="X7" s="1"/>
  <c r="Y7" s="1"/>
  <c r="Z7" s="1"/>
  <c r="AA7" s="1"/>
  <c r="AB7" s="1"/>
  <c r="AC7" s="1"/>
  <c r="AD7" s="1"/>
  <c r="AE7" s="1"/>
  <c r="L38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36" s="1"/>
  <c r="M9"/>
  <c r="M8"/>
  <c r="K40"/>
  <c r="P26"/>
  <c r="O40"/>
  <c r="I40"/>
  <c r="J135" i="86" l="1"/>
  <c r="F121" i="4"/>
  <c r="M35" i="19"/>
  <c r="J129" i="86"/>
  <c r="J149" s="1"/>
  <c r="F115" i="4"/>
  <c r="M37" i="19"/>
  <c r="E7" i="69"/>
  <c r="C116" i="4" l="1"/>
  <c r="D116"/>
  <c r="E116"/>
  <c r="C117"/>
  <c r="D117"/>
  <c r="E117"/>
  <c r="C118"/>
  <c r="D118"/>
  <c r="E118"/>
  <c r="C119"/>
  <c r="D119"/>
  <c r="E119"/>
  <c r="C120"/>
  <c r="D120"/>
  <c r="E120"/>
  <c r="C121"/>
  <c r="D121"/>
  <c r="E121"/>
  <c r="C122"/>
  <c r="D122"/>
  <c r="E122"/>
  <c r="C123"/>
  <c r="D123"/>
  <c r="E123"/>
  <c r="G123"/>
  <c r="O137" i="86" s="1"/>
  <c r="C130" i="4"/>
  <c r="D130"/>
  <c r="E130"/>
  <c r="C131"/>
  <c r="D131"/>
  <c r="E131"/>
  <c r="C132"/>
  <c r="D132"/>
  <c r="E132"/>
  <c r="C133"/>
  <c r="D133"/>
  <c r="E133"/>
  <c r="G133"/>
  <c r="O147" i="86" s="1"/>
  <c r="C134" i="4"/>
  <c r="D134"/>
  <c r="E134"/>
  <c r="G134"/>
  <c r="O148" i="86" s="1"/>
  <c r="D115" i="4"/>
  <c r="E115"/>
  <c r="C115"/>
  <c r="C96"/>
  <c r="D96"/>
  <c r="E96"/>
  <c r="C97"/>
  <c r="D97"/>
  <c r="E97"/>
  <c r="C98"/>
  <c r="D98"/>
  <c r="E98"/>
  <c r="C99"/>
  <c r="D99"/>
  <c r="E99"/>
  <c r="C100"/>
  <c r="D100"/>
  <c r="E100"/>
  <c r="C101"/>
  <c r="D101"/>
  <c r="E101"/>
  <c r="C102"/>
  <c r="D102"/>
  <c r="E102"/>
  <c r="C103"/>
  <c r="D103"/>
  <c r="E103"/>
  <c r="C104"/>
  <c r="D104"/>
  <c r="E104"/>
  <c r="C105"/>
  <c r="D105"/>
  <c r="E105"/>
  <c r="C106"/>
  <c r="D106"/>
  <c r="E106"/>
  <c r="C107"/>
  <c r="D107"/>
  <c r="E107"/>
  <c r="C108"/>
  <c r="D108"/>
  <c r="E108"/>
  <c r="C109"/>
  <c r="D109"/>
  <c r="E109"/>
  <c r="G109"/>
  <c r="O123" i="86" s="1"/>
  <c r="C110" i="4"/>
  <c r="D110"/>
  <c r="E110"/>
  <c r="G110"/>
  <c r="O124" i="86" s="1"/>
  <c r="C111" i="4"/>
  <c r="D111"/>
  <c r="E111"/>
  <c r="G111"/>
  <c r="O125" i="86" s="1"/>
  <c r="D95" i="4"/>
  <c r="E95"/>
  <c r="C95"/>
  <c r="C82"/>
  <c r="D82"/>
  <c r="E82"/>
  <c r="C83"/>
  <c r="D83"/>
  <c r="E83"/>
  <c r="D81"/>
  <c r="E81"/>
  <c r="C81"/>
  <c r="C75"/>
  <c r="D75"/>
  <c r="E75"/>
  <c r="G75"/>
  <c r="D144"/>
  <c r="H144"/>
  <c r="E13" i="64" s="1"/>
  <c r="C59" i="4"/>
  <c r="D59"/>
  <c r="E59"/>
  <c r="C60"/>
  <c r="D60"/>
  <c r="E60"/>
  <c r="C61"/>
  <c r="D61"/>
  <c r="E61"/>
  <c r="C62"/>
  <c r="D62"/>
  <c r="E62"/>
  <c r="C63"/>
  <c r="D63"/>
  <c r="E63"/>
  <c r="C64"/>
  <c r="D64"/>
  <c r="E64"/>
  <c r="C65"/>
  <c r="D65"/>
  <c r="E65"/>
  <c r="C66"/>
  <c r="D66"/>
  <c r="E66"/>
  <c r="C67"/>
  <c r="D67"/>
  <c r="E67"/>
  <c r="C68"/>
  <c r="D68"/>
  <c r="E68"/>
  <c r="C69"/>
  <c r="D69"/>
  <c r="E69"/>
  <c r="C70"/>
  <c r="D70"/>
  <c r="E70"/>
  <c r="C71"/>
  <c r="D71"/>
  <c r="E71"/>
  <c r="C72"/>
  <c r="D72"/>
  <c r="E72"/>
  <c r="C73"/>
  <c r="D73"/>
  <c r="E73"/>
  <c r="C74"/>
  <c r="D74"/>
  <c r="E74"/>
  <c r="C46"/>
  <c r="D46"/>
  <c r="E46"/>
  <c r="C47"/>
  <c r="D47"/>
  <c r="E47"/>
  <c r="C48"/>
  <c r="D48"/>
  <c r="E48"/>
  <c r="C49"/>
  <c r="D49"/>
  <c r="E49"/>
  <c r="C50"/>
  <c r="D50"/>
  <c r="E50"/>
  <c r="C51"/>
  <c r="D51"/>
  <c r="E51"/>
  <c r="C52"/>
  <c r="D52"/>
  <c r="E52"/>
  <c r="C53"/>
  <c r="D53"/>
  <c r="E53"/>
  <c r="C54"/>
  <c r="D54"/>
  <c r="E54"/>
  <c r="C55"/>
  <c r="D55"/>
  <c r="E55"/>
  <c r="C56"/>
  <c r="D56"/>
  <c r="E56"/>
  <c r="C57"/>
  <c r="D57"/>
  <c r="E57"/>
  <c r="C58"/>
  <c r="D58"/>
  <c r="E58"/>
  <c r="C37"/>
  <c r="D37"/>
  <c r="E37"/>
  <c r="C38"/>
  <c r="D38"/>
  <c r="E38"/>
  <c r="C39"/>
  <c r="D39"/>
  <c r="E39"/>
  <c r="C40"/>
  <c r="D40"/>
  <c r="E40"/>
  <c r="C41"/>
  <c r="D41"/>
  <c r="E41"/>
  <c r="C42"/>
  <c r="D42"/>
  <c r="E42"/>
  <c r="C43"/>
  <c r="D43"/>
  <c r="E43"/>
  <c r="C44"/>
  <c r="D44"/>
  <c r="E44"/>
  <c r="C45"/>
  <c r="D45"/>
  <c r="E45"/>
  <c r="D36"/>
  <c r="E36"/>
  <c r="C36"/>
  <c r="C8"/>
  <c r="D8"/>
  <c r="E8"/>
  <c r="C9"/>
  <c r="D9"/>
  <c r="E9"/>
  <c r="G9"/>
  <c r="O24" i="86" s="1"/>
  <c r="C10" i="4"/>
  <c r="D10"/>
  <c r="E10"/>
  <c r="C11"/>
  <c r="D11"/>
  <c r="E11"/>
  <c r="C12"/>
  <c r="D12"/>
  <c r="E12"/>
  <c r="C13"/>
  <c r="D13"/>
  <c r="E13"/>
  <c r="C14"/>
  <c r="D14"/>
  <c r="E14"/>
  <c r="C15"/>
  <c r="D15"/>
  <c r="E15"/>
  <c r="C16"/>
  <c r="D16"/>
  <c r="E16"/>
  <c r="C17"/>
  <c r="D17"/>
  <c r="E17"/>
  <c r="C18"/>
  <c r="D18"/>
  <c r="E18"/>
  <c r="C19"/>
  <c r="D19"/>
  <c r="E19"/>
  <c r="C20"/>
  <c r="D20"/>
  <c r="E20"/>
  <c r="C21"/>
  <c r="D21"/>
  <c r="E21"/>
  <c r="C22"/>
  <c r="D22"/>
  <c r="E22"/>
  <c r="C23"/>
  <c r="D23"/>
  <c r="E23"/>
  <c r="C24"/>
  <c r="D24"/>
  <c r="E24"/>
  <c r="C25"/>
  <c r="D25"/>
  <c r="E25"/>
  <c r="C26"/>
  <c r="D26"/>
  <c r="E26"/>
  <c r="C27"/>
  <c r="D27"/>
  <c r="E27"/>
  <c r="C28"/>
  <c r="D28"/>
  <c r="E28"/>
  <c r="C29"/>
  <c r="D29"/>
  <c r="E29"/>
  <c r="G29"/>
  <c r="O44" i="86" s="1"/>
  <c r="C30" i="4"/>
  <c r="D30"/>
  <c r="E30"/>
  <c r="C31"/>
  <c r="D31"/>
  <c r="E31"/>
  <c r="G31"/>
  <c r="O46" i="86" s="1"/>
  <c r="E7" i="4"/>
  <c r="D7"/>
  <c r="C7"/>
  <c r="K24" i="86"/>
  <c r="K44"/>
  <c r="K102"/>
  <c r="K103"/>
  <c r="K104"/>
  <c r="K105"/>
  <c r="K106"/>
  <c r="K107"/>
  <c r="K108"/>
  <c r="K123"/>
  <c r="K124"/>
  <c r="K125"/>
  <c r="K126"/>
  <c r="K127"/>
  <c r="K128"/>
  <c r="K137"/>
  <c r="K147"/>
  <c r="K148"/>
  <c r="O90" l="1"/>
  <c r="H75" i="4"/>
  <c r="L22" i="86"/>
  <c r="K77" i="43" l="1"/>
  <c r="G132" i="4"/>
  <c r="O146" i="86" s="1"/>
  <c r="K146"/>
  <c r="G130" i="4"/>
  <c r="O144" i="86" s="1"/>
  <c r="K144"/>
  <c r="K143"/>
  <c r="K141"/>
  <c r="K140"/>
  <c r="K139"/>
  <c r="K138"/>
  <c r="G122" i="4"/>
  <c r="O136" i="86" s="1"/>
  <c r="K136"/>
  <c r="G121" i="4"/>
  <c r="O135" i="86" s="1"/>
  <c r="K135"/>
  <c r="G120" i="4"/>
  <c r="O134" i="86" s="1"/>
  <c r="K134"/>
  <c r="G119" i="4"/>
  <c r="O133" i="86" s="1"/>
  <c r="K133"/>
  <c r="G117" i="4"/>
  <c r="O131" i="86" s="1"/>
  <c r="K131"/>
  <c r="G116" i="4"/>
  <c r="O130" i="86" s="1"/>
  <c r="K130"/>
  <c r="G115" i="4"/>
  <c r="O129" i="86" s="1"/>
  <c r="K129"/>
  <c r="G107" i="4"/>
  <c r="O121" i="86" s="1"/>
  <c r="K121"/>
  <c r="G105" i="4"/>
  <c r="O119" i="86" s="1"/>
  <c r="K119"/>
  <c r="G101" i="4"/>
  <c r="O115" i="86" s="1"/>
  <c r="K115"/>
  <c r="G97" i="4"/>
  <c r="O111" i="86" s="1"/>
  <c r="K111"/>
  <c r="G81" i="4"/>
  <c r="O98" i="86" s="1"/>
  <c r="K98"/>
  <c r="G72" i="4"/>
  <c r="O87" i="86" s="1"/>
  <c r="K87"/>
  <c r="N87" s="1"/>
  <c r="G131" i="4"/>
  <c r="O145" i="86" s="1"/>
  <c r="K145"/>
  <c r="K142"/>
  <c r="G118" i="4"/>
  <c r="O132" i="86" s="1"/>
  <c r="K132"/>
  <c r="G98" i="4"/>
  <c r="O112" i="86" s="1"/>
  <c r="K112"/>
  <c r="G96" i="4"/>
  <c r="K110" i="86"/>
  <c r="G73" i="4"/>
  <c r="O88" i="86" s="1"/>
  <c r="K88"/>
  <c r="N88" s="1"/>
  <c r="G71" i="4"/>
  <c r="O86" i="86" s="1"/>
  <c r="K86"/>
  <c r="N86" s="1"/>
  <c r="G67" i="4"/>
  <c r="O82" i="86" s="1"/>
  <c r="K82"/>
  <c r="N82" s="1"/>
  <c r="G63" i="4"/>
  <c r="O78" i="86" s="1"/>
  <c r="K78"/>
  <c r="N78" s="1"/>
  <c r="G59" i="4"/>
  <c r="O74" i="86" s="1"/>
  <c r="K74"/>
  <c r="N74" s="1"/>
  <c r="G55" i="4"/>
  <c r="O70" i="86" s="1"/>
  <c r="K70"/>
  <c r="N70" s="1"/>
  <c r="G51" i="4"/>
  <c r="O66" i="86" s="1"/>
  <c r="K66"/>
  <c r="N66" s="1"/>
  <c r="G47" i="4"/>
  <c r="O62" i="86" s="1"/>
  <c r="K62"/>
  <c r="N62" s="1"/>
  <c r="G43" i="4"/>
  <c r="O58" i="86" s="1"/>
  <c r="K58"/>
  <c r="N58" s="1"/>
  <c r="G39" i="4"/>
  <c r="O54" i="86" s="1"/>
  <c r="K54"/>
  <c r="N54" s="1"/>
  <c r="G38" i="4"/>
  <c r="O53" i="86" s="1"/>
  <c r="K53"/>
  <c r="G36" i="4"/>
  <c r="K51" i="86"/>
  <c r="G30" i="4"/>
  <c r="K45" i="86"/>
  <c r="G28" i="4"/>
  <c r="O43" i="86" s="1"/>
  <c r="K43"/>
  <c r="G24" i="4"/>
  <c r="O39" i="86" s="1"/>
  <c r="K39"/>
  <c r="G20" i="4"/>
  <c r="O35" i="86" s="1"/>
  <c r="K35"/>
  <c r="G16" i="4"/>
  <c r="O31" i="86" s="1"/>
  <c r="K31"/>
  <c r="G12" i="4"/>
  <c r="O27" i="86" s="1"/>
  <c r="K27"/>
  <c r="Q21" i="32"/>
  <c r="P21"/>
  <c r="V21"/>
  <c r="U21"/>
  <c r="Q17"/>
  <c r="P17"/>
  <c r="P16"/>
  <c r="P15"/>
  <c r="V17"/>
  <c r="U17"/>
  <c r="U16"/>
  <c r="P44" i="27"/>
  <c r="P43"/>
  <c r="P42"/>
  <c r="O41"/>
  <c r="N53" i="86" l="1"/>
  <c r="G114" i="4"/>
  <c r="H30"/>
  <c r="O45" i="86"/>
  <c r="O51"/>
  <c r="N51"/>
  <c r="G7" i="4"/>
  <c r="O22" i="86" s="1"/>
  <c r="K22"/>
  <c r="G11" i="4"/>
  <c r="O26" i="86" s="1"/>
  <c r="K26"/>
  <c r="K30"/>
  <c r="G15" i="4"/>
  <c r="O30" i="86" s="1"/>
  <c r="K34"/>
  <c r="G19" i="4"/>
  <c r="O34" i="86" s="1"/>
  <c r="K38"/>
  <c r="G23" i="4"/>
  <c r="O38" i="86" s="1"/>
  <c r="K42"/>
  <c r="G27" i="4"/>
  <c r="O42" i="86" s="1"/>
  <c r="G42" i="4"/>
  <c r="O57" i="86" s="1"/>
  <c r="K57"/>
  <c r="N57" s="1"/>
  <c r="G46" i="4"/>
  <c r="O61" i="86" s="1"/>
  <c r="K61"/>
  <c r="N61" s="1"/>
  <c r="G50" i="4"/>
  <c r="O65" i="86" s="1"/>
  <c r="K65"/>
  <c r="N65" s="1"/>
  <c r="G54" i="4"/>
  <c r="O69" i="86" s="1"/>
  <c r="K69"/>
  <c r="N69" s="1"/>
  <c r="G58" i="4"/>
  <c r="O73" i="86" s="1"/>
  <c r="K73"/>
  <c r="N73" s="1"/>
  <c r="G62" i="4"/>
  <c r="O77" i="86" s="1"/>
  <c r="K77"/>
  <c r="N77" s="1"/>
  <c r="G66" i="4"/>
  <c r="O81" i="86" s="1"/>
  <c r="K81"/>
  <c r="N81" s="1"/>
  <c r="G70" i="4"/>
  <c r="O85" i="86" s="1"/>
  <c r="K85"/>
  <c r="N85" s="1"/>
  <c r="G82" i="4"/>
  <c r="O99" i="86" s="1"/>
  <c r="K99"/>
  <c r="G99" i="4"/>
  <c r="O113" i="86" s="1"/>
  <c r="K113"/>
  <c r="G102" i="4"/>
  <c r="O116" i="86" s="1"/>
  <c r="K116"/>
  <c r="G8" i="4"/>
  <c r="O23" i="86" s="1"/>
  <c r="K23"/>
  <c r="G14" i="4"/>
  <c r="O29" i="86" s="1"/>
  <c r="K29"/>
  <c r="K32"/>
  <c r="G17" i="4"/>
  <c r="O32" i="86" s="1"/>
  <c r="G22" i="4"/>
  <c r="O37" i="86" s="1"/>
  <c r="K37"/>
  <c r="K40"/>
  <c r="G25" i="4"/>
  <c r="O40" i="86" s="1"/>
  <c r="G41" i="4"/>
  <c r="O56" i="86" s="1"/>
  <c r="K56"/>
  <c r="N56" s="1"/>
  <c r="G44" i="4"/>
  <c r="O59" i="86" s="1"/>
  <c r="K59"/>
  <c r="N59" s="1"/>
  <c r="G49" i="4"/>
  <c r="O64" i="86" s="1"/>
  <c r="K64"/>
  <c r="N64" s="1"/>
  <c r="G52" i="4"/>
  <c r="O67" i="86" s="1"/>
  <c r="K67"/>
  <c r="N67" s="1"/>
  <c r="G57" i="4"/>
  <c r="O72" i="86" s="1"/>
  <c r="K72"/>
  <c r="N72" s="1"/>
  <c r="G60" i="4"/>
  <c r="O75" i="86" s="1"/>
  <c r="K75"/>
  <c r="N75" s="1"/>
  <c r="G65" i="4"/>
  <c r="O80" i="86" s="1"/>
  <c r="K80"/>
  <c r="N80" s="1"/>
  <c r="G68" i="4"/>
  <c r="O83" i="86" s="1"/>
  <c r="K83"/>
  <c r="N83" s="1"/>
  <c r="G83" i="4"/>
  <c r="O100" i="86" s="1"/>
  <c r="K100"/>
  <c r="K101"/>
  <c r="G103" i="4"/>
  <c r="O117" i="86" s="1"/>
  <c r="K117"/>
  <c r="G106" i="4"/>
  <c r="O120" i="86" s="1"/>
  <c r="K120"/>
  <c r="G108" i="4"/>
  <c r="O122" i="86" s="1"/>
  <c r="K122"/>
  <c r="G10" i="4"/>
  <c r="O25" i="86" s="1"/>
  <c r="K25"/>
  <c r="K28"/>
  <c r="G13" i="4"/>
  <c r="O28" i="86" s="1"/>
  <c r="G18" i="4"/>
  <c r="O33" i="86" s="1"/>
  <c r="K33"/>
  <c r="K36"/>
  <c r="G21" i="4"/>
  <c r="O36" i="86" s="1"/>
  <c r="G26" i="4"/>
  <c r="O41" i="86" s="1"/>
  <c r="K41"/>
  <c r="G37" i="4"/>
  <c r="O52" i="86" s="1"/>
  <c r="K52"/>
  <c r="G40" i="4"/>
  <c r="O55" i="86" s="1"/>
  <c r="K55"/>
  <c r="N55" s="1"/>
  <c r="G45" i="4"/>
  <c r="O60" i="86" s="1"/>
  <c r="K60"/>
  <c r="N60" s="1"/>
  <c r="G48" i="4"/>
  <c r="O63" i="86" s="1"/>
  <c r="K63"/>
  <c r="N63" s="1"/>
  <c r="G53" i="4"/>
  <c r="O68" i="86" s="1"/>
  <c r="K68"/>
  <c r="N68" s="1"/>
  <c r="G56" i="4"/>
  <c r="O71" i="86" s="1"/>
  <c r="K71"/>
  <c r="N71" s="1"/>
  <c r="G61" i="4"/>
  <c r="O76" i="86" s="1"/>
  <c r="K76"/>
  <c r="N76" s="1"/>
  <c r="G64" i="4"/>
  <c r="O79" i="86" s="1"/>
  <c r="K79"/>
  <c r="N79" s="1"/>
  <c r="G69" i="4"/>
  <c r="O84" i="86" s="1"/>
  <c r="K84"/>
  <c r="N84" s="1"/>
  <c r="G74" i="4"/>
  <c r="O89" i="86" s="1"/>
  <c r="K89"/>
  <c r="N89" s="1"/>
  <c r="G95" i="4"/>
  <c r="O109" i="86" s="1"/>
  <c r="K109"/>
  <c r="G100" i="4"/>
  <c r="O114" i="86" s="1"/>
  <c r="K114"/>
  <c r="G104" i="4"/>
  <c r="O118" i="86" s="1"/>
  <c r="K118"/>
  <c r="AA63" i="32"/>
  <c r="AA62"/>
  <c r="Z62"/>
  <c r="U43"/>
  <c r="Z16"/>
  <c r="Z15"/>
  <c r="AA75" i="27"/>
  <c r="E18" i="43"/>
  <c r="N52" i="86" l="1"/>
  <c r="G35" i="4"/>
  <c r="K149" i="86"/>
  <c r="N21" s="1"/>
  <c r="M21"/>
  <c r="K90"/>
  <c r="N90" s="1"/>
  <c r="Z44" i="32"/>
  <c r="Z43"/>
  <c r="Y42"/>
  <c r="AA21"/>
  <c r="Z21"/>
  <c r="AL21" i="27" l="1"/>
  <c r="AA17" i="32" l="1"/>
  <c r="Z17"/>
  <c r="Z75" i="27"/>
  <c r="Y75"/>
  <c r="X75"/>
  <c r="AA74"/>
  <c r="AA73" s="1"/>
  <c r="Z74"/>
  <c r="Y74"/>
  <c r="Y73" s="1"/>
  <c r="X74"/>
  <c r="X73" s="1"/>
  <c r="W71"/>
  <c r="W70"/>
  <c r="AA69"/>
  <c r="Z69"/>
  <c r="Y69"/>
  <c r="X69"/>
  <c r="W68"/>
  <c r="W67"/>
  <c r="AA66"/>
  <c r="Z66"/>
  <c r="Y66"/>
  <c r="X66"/>
  <c r="W65"/>
  <c r="W64"/>
  <c r="AA63"/>
  <c r="Z63"/>
  <c r="Y63"/>
  <c r="X63"/>
  <c r="W62"/>
  <c r="W61"/>
  <c r="AA60"/>
  <c r="Z60"/>
  <c r="Y60"/>
  <c r="X60"/>
  <c r="AA55"/>
  <c r="Z55"/>
  <c r="Y55"/>
  <c r="X55"/>
  <c r="W53"/>
  <c r="W52"/>
  <c r="W51"/>
  <c r="AA45"/>
  <c r="Z45"/>
  <c r="Y45"/>
  <c r="X45"/>
  <c r="W43"/>
  <c r="W44"/>
  <c r="W42"/>
  <c r="W41"/>
  <c r="W32"/>
  <c r="W31"/>
  <c r="W30"/>
  <c r="AA29"/>
  <c r="Z29"/>
  <c r="Y29"/>
  <c r="X29"/>
  <c r="W28"/>
  <c r="W27"/>
  <c r="W26"/>
  <c r="W25"/>
  <c r="AA24"/>
  <c r="Z24"/>
  <c r="Y24"/>
  <c r="X24"/>
  <c r="W23"/>
  <c r="W22"/>
  <c r="W21"/>
  <c r="AA20"/>
  <c r="Z20"/>
  <c r="Y20"/>
  <c r="X20"/>
  <c r="W18"/>
  <c r="W16"/>
  <c r="W15"/>
  <c r="W14"/>
  <c r="AA13"/>
  <c r="Z13"/>
  <c r="Y13"/>
  <c r="X13"/>
  <c r="W12"/>
  <c r="T119" i="80"/>
  <c r="T118"/>
  <c r="P118"/>
  <c r="H118"/>
  <c r="T117"/>
  <c r="T108"/>
  <c r="T107"/>
  <c r="T106"/>
  <c r="I112"/>
  <c r="I111"/>
  <c r="I116"/>
  <c r="I110"/>
  <c r="H122"/>
  <c r="H112"/>
  <c r="G112"/>
  <c r="H121"/>
  <c r="F121"/>
  <c r="H111"/>
  <c r="G111"/>
  <c r="H116"/>
  <c r="I115"/>
  <c r="K111"/>
  <c r="G110"/>
  <c r="E121"/>
  <c r="R119"/>
  <c r="Q119"/>
  <c r="P119"/>
  <c r="O119"/>
  <c r="N119"/>
  <c r="M119"/>
  <c r="K119"/>
  <c r="J119"/>
  <c r="I119"/>
  <c r="H119"/>
  <c r="G119"/>
  <c r="F119"/>
  <c r="R118"/>
  <c r="Q118"/>
  <c r="O118"/>
  <c r="N118"/>
  <c r="M118"/>
  <c r="K118"/>
  <c r="J118"/>
  <c r="I118"/>
  <c r="G118"/>
  <c r="F118"/>
  <c r="R117"/>
  <c r="P117"/>
  <c r="N117"/>
  <c r="J117"/>
  <c r="H117"/>
  <c r="F117"/>
  <c r="R108"/>
  <c r="Q108"/>
  <c r="P108"/>
  <c r="O108"/>
  <c r="N108"/>
  <c r="M108"/>
  <c r="K108"/>
  <c r="J108"/>
  <c r="I108"/>
  <c r="H108"/>
  <c r="G108"/>
  <c r="F108"/>
  <c r="R107"/>
  <c r="Q107"/>
  <c r="P107"/>
  <c r="O107"/>
  <c r="N107"/>
  <c r="M107"/>
  <c r="K107"/>
  <c r="J107"/>
  <c r="I107"/>
  <c r="H107"/>
  <c r="G107"/>
  <c r="F107"/>
  <c r="D107"/>
  <c r="R106"/>
  <c r="P106"/>
  <c r="N106"/>
  <c r="J106"/>
  <c r="H106"/>
  <c r="F106"/>
  <c r="Z76" i="32"/>
  <c r="Y76"/>
  <c r="X76"/>
  <c r="Y75"/>
  <c r="X75"/>
  <c r="Y74"/>
  <c r="W72"/>
  <c r="AA71"/>
  <c r="AA70" s="1"/>
  <c r="Z71"/>
  <c r="Y70"/>
  <c r="X70"/>
  <c r="W69"/>
  <c r="W68"/>
  <c r="AA67"/>
  <c r="Z67"/>
  <c r="Y67"/>
  <c r="X67"/>
  <c r="W67"/>
  <c r="W66"/>
  <c r="W65"/>
  <c r="AA64"/>
  <c r="Z64"/>
  <c r="Y64"/>
  <c r="X64"/>
  <c r="W64" s="1"/>
  <c r="W63"/>
  <c r="AA75"/>
  <c r="Z61"/>
  <c r="Y61"/>
  <c r="X61"/>
  <c r="AA57"/>
  <c r="Z57"/>
  <c r="Y57"/>
  <c r="X57"/>
  <c r="W55"/>
  <c r="W54"/>
  <c r="W53"/>
  <c r="AA49"/>
  <c r="X49"/>
  <c r="W49"/>
  <c r="Y49"/>
  <c r="W32"/>
  <c r="W31"/>
  <c r="W30"/>
  <c r="AA29"/>
  <c r="Z29"/>
  <c r="Y29"/>
  <c r="X29"/>
  <c r="W29"/>
  <c r="W28"/>
  <c r="W27"/>
  <c r="W26"/>
  <c r="W25"/>
  <c r="AA24"/>
  <c r="Z24"/>
  <c r="Y24"/>
  <c r="X24"/>
  <c r="W24" s="1"/>
  <c r="W23"/>
  <c r="W22"/>
  <c r="W21"/>
  <c r="AA20"/>
  <c r="Z20"/>
  <c r="Y20"/>
  <c r="Y19" s="1"/>
  <c r="X20"/>
  <c r="AA19"/>
  <c r="W18"/>
  <c r="W16"/>
  <c r="W15"/>
  <c r="W14"/>
  <c r="AA13"/>
  <c r="Z13"/>
  <c r="Y13"/>
  <c r="X13"/>
  <c r="W12"/>
  <c r="P76"/>
  <c r="O76"/>
  <c r="N76"/>
  <c r="O75"/>
  <c r="N75"/>
  <c r="O74"/>
  <c r="M72"/>
  <c r="Q71"/>
  <c r="Q70" s="1"/>
  <c r="P71"/>
  <c r="P70" s="1"/>
  <c r="O70"/>
  <c r="N70"/>
  <c r="M69"/>
  <c r="M68"/>
  <c r="Q67"/>
  <c r="P67"/>
  <c r="O67"/>
  <c r="N67"/>
  <c r="M67"/>
  <c r="M66"/>
  <c r="M65"/>
  <c r="Q64"/>
  <c r="P64"/>
  <c r="O64"/>
  <c r="N64"/>
  <c r="M64" s="1"/>
  <c r="Q63"/>
  <c r="M63" s="1"/>
  <c r="Q62"/>
  <c r="P62"/>
  <c r="O61"/>
  <c r="N61"/>
  <c r="Q57"/>
  <c r="P57"/>
  <c r="O57"/>
  <c r="N57"/>
  <c r="M55"/>
  <c r="M54"/>
  <c r="M53"/>
  <c r="Q49"/>
  <c r="N49"/>
  <c r="M49"/>
  <c r="P44"/>
  <c r="P43"/>
  <c r="O42"/>
  <c r="O49" s="1"/>
  <c r="M32"/>
  <c r="M31"/>
  <c r="M30"/>
  <c r="Q29"/>
  <c r="P29"/>
  <c r="O29"/>
  <c r="N29"/>
  <c r="M29"/>
  <c r="M28"/>
  <c r="M27"/>
  <c r="M26"/>
  <c r="M25"/>
  <c r="Q24"/>
  <c r="P24"/>
  <c r="O24"/>
  <c r="N24"/>
  <c r="M24" s="1"/>
  <c r="M23"/>
  <c r="M22"/>
  <c r="M21"/>
  <c r="Q20"/>
  <c r="Q19" s="1"/>
  <c r="Q7" s="1"/>
  <c r="P20"/>
  <c r="O20"/>
  <c r="N20"/>
  <c r="O19"/>
  <c r="M18"/>
  <c r="M17"/>
  <c r="M16"/>
  <c r="M15"/>
  <c r="M14"/>
  <c r="Q13"/>
  <c r="P13"/>
  <c r="O13"/>
  <c r="N13"/>
  <c r="M12"/>
  <c r="Q75" i="27"/>
  <c r="P75"/>
  <c r="O75"/>
  <c r="N75"/>
  <c r="Q74"/>
  <c r="Q73" s="1"/>
  <c r="P74"/>
  <c r="P73" s="1"/>
  <c r="O74"/>
  <c r="O73" s="1"/>
  <c r="N74"/>
  <c r="N73" s="1"/>
  <c r="M71"/>
  <c r="M70"/>
  <c r="Q69"/>
  <c r="P69"/>
  <c r="O69"/>
  <c r="N69"/>
  <c r="M68"/>
  <c r="M67"/>
  <c r="Q66"/>
  <c r="P66"/>
  <c r="O66"/>
  <c r="N66"/>
  <c r="M65"/>
  <c r="M64"/>
  <c r="Q63"/>
  <c r="P63"/>
  <c r="O63"/>
  <c r="N63"/>
  <c r="M62"/>
  <c r="M61"/>
  <c r="Q60"/>
  <c r="P60"/>
  <c r="O60"/>
  <c r="N60"/>
  <c r="Q55"/>
  <c r="P55"/>
  <c r="O55"/>
  <c r="N55"/>
  <c r="M53"/>
  <c r="M52"/>
  <c r="M51"/>
  <c r="Q45"/>
  <c r="P45"/>
  <c r="O45"/>
  <c r="N45"/>
  <c r="M43"/>
  <c r="M44"/>
  <c r="M42"/>
  <c r="M41"/>
  <c r="M32"/>
  <c r="M31"/>
  <c r="M30"/>
  <c r="Q29"/>
  <c r="P29"/>
  <c r="O29"/>
  <c r="N29"/>
  <c r="M28"/>
  <c r="M27"/>
  <c r="M26"/>
  <c r="M25"/>
  <c r="Q24"/>
  <c r="P24"/>
  <c r="O24"/>
  <c r="N24"/>
  <c r="M23"/>
  <c r="M22"/>
  <c r="M21"/>
  <c r="Q20"/>
  <c r="P20"/>
  <c r="O20"/>
  <c r="N20"/>
  <c r="M18"/>
  <c r="M17"/>
  <c r="M16"/>
  <c r="M15"/>
  <c r="M14"/>
  <c r="Q13"/>
  <c r="P13"/>
  <c r="O13"/>
  <c r="N13"/>
  <c r="M12"/>
  <c r="O36" i="32" l="1"/>
  <c r="Y36"/>
  <c r="M13"/>
  <c r="P19"/>
  <c r="N36"/>
  <c r="M57"/>
  <c r="Z19"/>
  <c r="X36"/>
  <c r="W57"/>
  <c r="AA7"/>
  <c r="AA18" s="1"/>
  <c r="W63" i="27"/>
  <c r="P19"/>
  <c r="X19"/>
  <c r="W17" i="32"/>
  <c r="M69" i="27"/>
  <c r="M20" i="32"/>
  <c r="W17" i="27"/>
  <c r="Y19"/>
  <c r="AA19"/>
  <c r="AA7" s="1"/>
  <c r="AA18" s="1"/>
  <c r="W24"/>
  <c r="W29"/>
  <c r="W55"/>
  <c r="AK21"/>
  <c r="M13"/>
  <c r="L2" s="1"/>
  <c r="O19"/>
  <c r="Q19"/>
  <c r="Q7" s="1"/>
  <c r="Q8" s="1"/>
  <c r="Q11" s="1"/>
  <c r="P7" s="1"/>
  <c r="M24"/>
  <c r="M63"/>
  <c r="M66"/>
  <c r="M20"/>
  <c r="M62" i="32"/>
  <c r="AA36"/>
  <c r="W20"/>
  <c r="Z36"/>
  <c r="W36" s="1"/>
  <c r="W13"/>
  <c r="W75" i="27"/>
  <c r="W60"/>
  <c r="N19"/>
  <c r="M29"/>
  <c r="M55"/>
  <c r="M75"/>
  <c r="W20"/>
  <c r="O36"/>
  <c r="W13"/>
  <c r="Z19"/>
  <c r="Y36"/>
  <c r="W66"/>
  <c r="W45"/>
  <c r="W74"/>
  <c r="W69"/>
  <c r="Z73"/>
  <c r="W73" s="1"/>
  <c r="W71" i="32"/>
  <c r="P61"/>
  <c r="Q75"/>
  <c r="M71"/>
  <c r="Z75"/>
  <c r="Z74" s="1"/>
  <c r="Z70"/>
  <c r="W70" s="1"/>
  <c r="H115" i="80"/>
  <c r="AA36" i="27"/>
  <c r="Z36"/>
  <c r="X36"/>
  <c r="Z49" i="32"/>
  <c r="W62"/>
  <c r="P75"/>
  <c r="P74" s="1"/>
  <c r="P49"/>
  <c r="E111" i="80"/>
  <c r="E112"/>
  <c r="D109"/>
  <c r="D106"/>
  <c r="D108"/>
  <c r="D119"/>
  <c r="G106"/>
  <c r="I106"/>
  <c r="K106"/>
  <c r="O106"/>
  <c r="Q106"/>
  <c r="S108"/>
  <c r="K110"/>
  <c r="E122"/>
  <c r="K120"/>
  <c r="F112"/>
  <c r="D112"/>
  <c r="D110"/>
  <c r="S119"/>
  <c r="J111"/>
  <c r="J110"/>
  <c r="H110"/>
  <c r="F115"/>
  <c r="F111"/>
  <c r="D111"/>
  <c r="H120"/>
  <c r="D121"/>
  <c r="G117"/>
  <c r="I117"/>
  <c r="K117"/>
  <c r="O117"/>
  <c r="Q117"/>
  <c r="G120"/>
  <c r="K121"/>
  <c r="I120"/>
  <c r="G121"/>
  <c r="I121"/>
  <c r="G122"/>
  <c r="I122"/>
  <c r="G116"/>
  <c r="J120"/>
  <c r="J121"/>
  <c r="AA76" i="32"/>
  <c r="W76" s="1"/>
  <c r="X19"/>
  <c r="AA61"/>
  <c r="W61" s="1"/>
  <c r="X74"/>
  <c r="Q36"/>
  <c r="P36"/>
  <c r="M70"/>
  <c r="Q76"/>
  <c r="M76" s="1"/>
  <c r="Q8"/>
  <c r="Q11" s="1"/>
  <c r="P7" s="1"/>
  <c r="Q18"/>
  <c r="N19"/>
  <c r="Q61"/>
  <c r="N74"/>
  <c r="M74" i="27"/>
  <c r="M60"/>
  <c r="M73"/>
  <c r="M45"/>
  <c r="Q36"/>
  <c r="P36"/>
  <c r="N36"/>
  <c r="AA35" i="32" l="1"/>
  <c r="AA34" s="1"/>
  <c r="Q18" i="27"/>
  <c r="Q35"/>
  <c r="Q34" s="1"/>
  <c r="AA8" i="32"/>
  <c r="AA11" s="1"/>
  <c r="Z7" s="1"/>
  <c r="Z35" s="1"/>
  <c r="Z34" s="1"/>
  <c r="AA8" i="27"/>
  <c r="AA11" s="1"/>
  <c r="Z7" s="1"/>
  <c r="Z8" s="1"/>
  <c r="Z10" s="1"/>
  <c r="Y7" s="1"/>
  <c r="AA35"/>
  <c r="AA34" s="1"/>
  <c r="W19"/>
  <c r="W4" s="1"/>
  <c r="M61" i="32"/>
  <c r="M36"/>
  <c r="M19" i="27"/>
  <c r="M4" s="1"/>
  <c r="Q35" i="32"/>
  <c r="Q34" s="1"/>
  <c r="M75"/>
  <c r="W75"/>
  <c r="W36" i="27"/>
  <c r="L119" i="80"/>
  <c r="M117"/>
  <c r="S117"/>
  <c r="S118"/>
  <c r="F110"/>
  <c r="L107"/>
  <c r="D118"/>
  <c r="L118"/>
  <c r="E116"/>
  <c r="G115"/>
  <c r="M106"/>
  <c r="S106"/>
  <c r="L108"/>
  <c r="S107"/>
  <c r="AA74" i="32"/>
  <c r="W74" s="1"/>
  <c r="W19"/>
  <c r="W4" s="1"/>
  <c r="P35"/>
  <c r="P34" s="1"/>
  <c r="P18"/>
  <c r="P8"/>
  <c r="P10" s="1"/>
  <c r="O7" s="1"/>
  <c r="Q74"/>
  <c r="M74" s="1"/>
  <c r="M19"/>
  <c r="M4" s="1"/>
  <c r="M36" i="27"/>
  <c r="P35"/>
  <c r="P34" s="1"/>
  <c r="P18"/>
  <c r="P8"/>
  <c r="P10" s="1"/>
  <c r="O7" s="1"/>
  <c r="H116" i="4"/>
  <c r="H117"/>
  <c r="H120"/>
  <c r="H121"/>
  <c r="H122"/>
  <c r="H115"/>
  <c r="H96"/>
  <c r="H97"/>
  <c r="H98"/>
  <c r="H83"/>
  <c r="H82"/>
  <c r="H81"/>
  <c r="H61"/>
  <c r="H62"/>
  <c r="H63"/>
  <c r="H64"/>
  <c r="H65"/>
  <c r="H66"/>
  <c r="H67"/>
  <c r="H68"/>
  <c r="H69"/>
  <c r="H70"/>
  <c r="H71"/>
  <c r="H72"/>
  <c r="H73"/>
  <c r="H74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9"/>
  <c r="H29"/>
  <c r="H31"/>
  <c r="Z18" i="32" l="1"/>
  <c r="H35" i="4"/>
  <c r="Z8" i="32"/>
  <c r="Z10" s="1"/>
  <c r="Y7" s="1"/>
  <c r="Y18" s="1"/>
  <c r="Z18" i="27"/>
  <c r="Z35"/>
  <c r="Z34" s="1"/>
  <c r="H80" i="4"/>
  <c r="E10" i="64" s="1"/>
  <c r="Y8" i="27"/>
  <c r="Y9" s="1"/>
  <c r="X7" s="1"/>
  <c r="Y35"/>
  <c r="Y34" s="1"/>
  <c r="Y18"/>
  <c r="L106" i="80"/>
  <c r="E107"/>
  <c r="E120"/>
  <c r="E119"/>
  <c r="F122"/>
  <c r="D122"/>
  <c r="E108"/>
  <c r="E110"/>
  <c r="L117"/>
  <c r="E118"/>
  <c r="D117"/>
  <c r="C124"/>
  <c r="O35" i="32"/>
  <c r="O34" s="1"/>
  <c r="O18"/>
  <c r="O8"/>
  <c r="O9" s="1"/>
  <c r="N7" s="1"/>
  <c r="O35" i="27"/>
  <c r="O34" s="1"/>
  <c r="O18"/>
  <c r="O8"/>
  <c r="O9" s="1"/>
  <c r="N7" s="1"/>
  <c r="Y35" i="32" l="1"/>
  <c r="Y34" s="1"/>
  <c r="Y8"/>
  <c r="Y9" s="1"/>
  <c r="X7" s="1"/>
  <c r="X18" s="1"/>
  <c r="X35" i="27"/>
  <c r="X18"/>
  <c r="F116" i="80"/>
  <c r="F120"/>
  <c r="D120"/>
  <c r="D116"/>
  <c r="E117"/>
  <c r="D124"/>
  <c r="E106"/>
  <c r="C105"/>
  <c r="E109"/>
  <c r="N35" i="32"/>
  <c r="N18"/>
  <c r="N35" i="27"/>
  <c r="N18"/>
  <c r="A1" i="73"/>
  <c r="D12" i="65"/>
  <c r="C8"/>
  <c r="D8" s="1"/>
  <c r="B13"/>
  <c r="C13" s="1"/>
  <c r="D13" s="1"/>
  <c r="H50" i="66"/>
  <c r="H51"/>
  <c r="H52"/>
  <c r="H49"/>
  <c r="X35" i="32" l="1"/>
  <c r="W35" i="27"/>
  <c r="X34"/>
  <c r="W34" s="1"/>
  <c r="W35" i="32"/>
  <c r="X34"/>
  <c r="W34" s="1"/>
  <c r="M35"/>
  <c r="N34"/>
  <c r="M34" s="1"/>
  <c r="M35" i="27"/>
  <c r="N34"/>
  <c r="M34" s="1"/>
  <c r="O35" i="85"/>
  <c r="F47"/>
  <c r="I46"/>
  <c r="C45"/>
  <c r="I45" s="1"/>
  <c r="O36"/>
  <c r="P36"/>
  <c r="P35"/>
  <c r="P32"/>
  <c r="P31"/>
  <c r="P30"/>
  <c r="O21"/>
  <c r="O20"/>
  <c r="N11"/>
  <c r="N10"/>
  <c r="N9"/>
  <c r="N8"/>
  <c r="N7"/>
  <c r="N6"/>
  <c r="N5"/>
  <c r="Q34" l="1"/>
  <c r="M6"/>
  <c r="M10"/>
  <c r="O10" s="1"/>
  <c r="R10" s="1"/>
  <c r="O31"/>
  <c r="Q31" s="1"/>
  <c r="M8"/>
  <c r="M5"/>
  <c r="M7"/>
  <c r="M9"/>
  <c r="M11"/>
  <c r="O11" s="1"/>
  <c r="R11" s="1"/>
  <c r="O30"/>
  <c r="Q30" s="1"/>
  <c r="S30" s="1"/>
  <c r="O32"/>
  <c r="Q32" s="1"/>
  <c r="S32" s="1"/>
  <c r="O9"/>
  <c r="R9" s="1"/>
  <c r="O7"/>
  <c r="R7" s="1"/>
  <c r="O5"/>
  <c r="R5" s="1"/>
  <c r="Q35"/>
  <c r="S35" s="1"/>
  <c r="O6"/>
  <c r="R6" s="1"/>
  <c r="O8"/>
  <c r="R8" s="1"/>
  <c r="Q36"/>
  <c r="S36" s="1"/>
  <c r="P20"/>
  <c r="Q20" s="1"/>
  <c r="P21"/>
  <c r="Q21" s="1"/>
  <c r="S21" s="1"/>
  <c r="C42" l="1"/>
  <c r="C43"/>
  <c r="S34"/>
  <c r="I43"/>
  <c r="S20"/>
  <c r="S31"/>
  <c r="I42"/>
  <c r="C44" l="1"/>
  <c r="I44" s="1"/>
  <c r="I47" s="1"/>
  <c r="E14" i="64" l="1"/>
  <c r="C47" i="85"/>
  <c r="J6" i="4"/>
  <c r="C6" i="64"/>
  <c r="A14" i="85" l="1"/>
  <c r="K25" i="43"/>
  <c r="D6" i="64"/>
  <c r="E25" i="65" l="1"/>
  <c r="E24"/>
  <c r="D7" i="75" l="1"/>
  <c r="J114" i="4" l="1"/>
  <c r="J80"/>
  <c r="J148" l="1"/>
  <c r="B11" i="65"/>
  <c r="C11" s="1"/>
  <c r="D11" s="1"/>
  <c r="C48" i="43"/>
  <c r="B10" i="65"/>
  <c r="C10" s="1"/>
  <c r="D10" s="1"/>
  <c r="B9"/>
  <c r="C33" i="43"/>
  <c r="K33" s="1"/>
  <c r="K37"/>
  <c r="C31"/>
  <c r="K30" s="1"/>
  <c r="B6" i="65" l="1"/>
  <c r="C9"/>
  <c r="D9" s="1"/>
  <c r="L48" i="43"/>
  <c r="M48" s="1"/>
  <c r="N48" s="1"/>
  <c r="C38"/>
  <c r="K38" s="1"/>
  <c r="G17" i="66" l="1"/>
  <c r="G16"/>
  <c r="G15"/>
  <c r="G21" l="1"/>
  <c r="G20"/>
  <c r="G19"/>
  <c r="G12" l="1"/>
  <c r="G7"/>
  <c r="G6"/>
  <c r="E35" l="1"/>
  <c r="E34"/>
  <c r="E33"/>
  <c r="E32"/>
  <c r="E41"/>
  <c r="H37"/>
  <c r="F6" i="64"/>
  <c r="C50" i="43" l="1"/>
  <c r="C25" i="66"/>
  <c r="C22" l="1"/>
  <c r="C20" s="1"/>
  <c r="E20" s="1"/>
  <c r="H20" s="1"/>
  <c r="C21"/>
  <c r="C19" s="1"/>
  <c r="E19" s="1"/>
  <c r="H19" s="1"/>
  <c r="O38" i="19"/>
  <c r="P34"/>
  <c r="P33"/>
  <c r="P32"/>
  <c r="P31"/>
  <c r="P30"/>
  <c r="P29"/>
  <c r="P28"/>
  <c r="P27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44" i="18"/>
  <c r="P39"/>
  <c r="P36"/>
  <c r="P35"/>
  <c r="P34"/>
  <c r="P33"/>
  <c r="P32"/>
  <c r="P31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O47"/>
  <c r="O40"/>
  <c r="P40" s="1"/>
  <c r="P30" l="1"/>
  <c r="P42"/>
  <c r="O54"/>
  <c r="O37"/>
  <c r="O50" s="1"/>
  <c r="F50"/>
  <c r="O45"/>
  <c r="O51" s="1"/>
  <c r="F51"/>
  <c r="P46"/>
  <c r="R46"/>
  <c r="U46" s="1"/>
  <c r="X46" s="1"/>
  <c r="AA46" s="1"/>
  <c r="C6" i="66"/>
  <c r="R38" i="18"/>
  <c r="U38" s="1"/>
  <c r="X38" s="1"/>
  <c r="P36" i="19"/>
  <c r="P35"/>
  <c r="P47" i="18"/>
  <c r="C13" i="66"/>
  <c r="R47" i="18"/>
  <c r="C7" i="66"/>
  <c r="C8"/>
  <c r="R40" i="18"/>
  <c r="U40" s="1"/>
  <c r="X40" s="1"/>
  <c r="AA40" s="1"/>
  <c r="C9" i="66"/>
  <c r="C12"/>
  <c r="P38" i="18"/>
  <c r="P45"/>
  <c r="P37" l="1"/>
  <c r="R45"/>
  <c r="U45" s="1"/>
  <c r="X45" s="1"/>
  <c r="AA45" s="1"/>
  <c r="R37"/>
  <c r="P37" i="19"/>
  <c r="R51" i="18"/>
  <c r="U37"/>
  <c r="X37" s="1"/>
  <c r="AA37" s="1"/>
  <c r="R50"/>
  <c r="R52" s="1"/>
  <c r="F52"/>
  <c r="U47"/>
  <c r="X47" s="1"/>
  <c r="AA47" s="1"/>
  <c r="R54"/>
  <c r="O52"/>
  <c r="P48"/>
  <c r="K13" i="43" s="1"/>
  <c r="AA38" i="18"/>
  <c r="P43"/>
  <c r="S52" l="1"/>
  <c r="P41"/>
  <c r="P49" s="1"/>
  <c r="C61" i="43"/>
  <c r="C52"/>
  <c r="L61" l="1"/>
  <c r="M61" s="1"/>
  <c r="N61" s="1"/>
  <c r="U33" i="19"/>
  <c r="X33" s="1"/>
  <c r="AA33" s="1"/>
  <c r="AD33" s="1"/>
  <c r="U32"/>
  <c r="X32" s="1"/>
  <c r="AA32" s="1"/>
  <c r="AD32" s="1"/>
  <c r="U31"/>
  <c r="X31" s="1"/>
  <c r="U26"/>
  <c r="X26" s="1"/>
  <c r="AA26" s="1"/>
  <c r="AD26" s="1"/>
  <c r="U22"/>
  <c r="X22" s="1"/>
  <c r="AA22" s="1"/>
  <c r="AD22" s="1"/>
  <c r="R38"/>
  <c r="F38"/>
  <c r="M103" i="43" l="1"/>
  <c r="H19" i="61" l="1"/>
  <c r="B2" i="43" l="1"/>
  <c r="K28" i="74"/>
  <c r="K29" s="1"/>
  <c r="K30" s="1"/>
  <c r="K31" s="1"/>
  <c r="A16"/>
  <c r="A27" s="1"/>
  <c r="A36" s="1"/>
  <c r="M53" i="43"/>
  <c r="N53"/>
  <c r="L49" l="1"/>
  <c r="M49" s="1"/>
  <c r="N49" s="1"/>
  <c r="L133" l="1"/>
  <c r="L139" s="1"/>
  <c r="H9" i="83"/>
  <c r="D7" i="51"/>
  <c r="D6"/>
  <c r="C36" i="10"/>
  <c r="C37" s="1"/>
  <c r="B36"/>
  <c r="B37" s="1"/>
  <c r="A37"/>
  <c r="E9"/>
  <c r="R36"/>
  <c r="R37" s="1"/>
  <c r="Q36"/>
  <c r="Q37" s="1"/>
  <c r="P36"/>
  <c r="P37" s="1"/>
  <c r="O36"/>
  <c r="O37" s="1"/>
  <c r="N36"/>
  <c r="N37" s="1"/>
  <c r="M36"/>
  <c r="M37" s="1"/>
  <c r="L36"/>
  <c r="L37" s="1"/>
  <c r="K36"/>
  <c r="K37" s="1"/>
  <c r="J36"/>
  <c r="J37" s="1"/>
  <c r="I36"/>
  <c r="I37" s="1"/>
  <c r="H36"/>
  <c r="H37" s="1"/>
  <c r="G36"/>
  <c r="G37" s="1"/>
  <c r="F36"/>
  <c r="F37" s="1"/>
  <c r="E36"/>
  <c r="E37" s="1"/>
  <c r="D36"/>
  <c r="D37" s="1"/>
  <c r="E26" i="66"/>
  <c r="H32"/>
  <c r="H54"/>
  <c r="H48" s="1"/>
  <c r="H34"/>
  <c r="F9" i="10" l="1"/>
  <c r="F7"/>
  <c r="C17" i="66"/>
  <c r="C16"/>
  <c r="C15"/>
  <c r="L54" i="18"/>
  <c r="L45"/>
  <c r="L50"/>
  <c r="C45" i="66" l="1"/>
  <c r="C44"/>
  <c r="L55" i="18" l="1"/>
  <c r="L51"/>
  <c r="L52" s="1"/>
  <c r="B12" i="64"/>
  <c r="B11"/>
  <c r="B10"/>
  <c r="B9"/>
  <c r="B8"/>
  <c r="G141" i="4" l="1"/>
  <c r="H141" s="1"/>
  <c r="G142"/>
  <c r="H142" s="1"/>
  <c r="G139"/>
  <c r="G140"/>
  <c r="H140" s="1"/>
  <c r="H132"/>
  <c r="H131"/>
  <c r="H130"/>
  <c r="G91"/>
  <c r="H123"/>
  <c r="H119"/>
  <c r="H118"/>
  <c r="H134"/>
  <c r="H109"/>
  <c r="H108"/>
  <c r="H100"/>
  <c r="H101"/>
  <c r="H102"/>
  <c r="H103"/>
  <c r="H104"/>
  <c r="H105"/>
  <c r="H106"/>
  <c r="H107"/>
  <c r="H99"/>
  <c r="H95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10"/>
  <c r="H8"/>
  <c r="H7"/>
  <c r="H139" l="1"/>
  <c r="H138" s="1"/>
  <c r="G138"/>
  <c r="H6"/>
  <c r="E8" i="64" s="1"/>
  <c r="G80" i="4"/>
  <c r="G6"/>
  <c r="G94" l="1"/>
  <c r="H110"/>
  <c r="H94" s="1"/>
  <c r="E11" i="64" s="1"/>
  <c r="H133" i="4"/>
  <c r="H114" s="1"/>
  <c r="E12" i="64" s="1"/>
  <c r="E9"/>
  <c r="J37" i="21"/>
  <c r="F6"/>
  <c r="J6" s="1"/>
  <c r="K6" s="1"/>
  <c r="E6" i="64" l="1"/>
  <c r="G148" i="4"/>
  <c r="K29" i="43"/>
  <c r="H148" i="4"/>
  <c r="K25" i="47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O25"/>
  <c r="O34" s="1"/>
  <c r="O26"/>
  <c r="O27"/>
  <c r="O28"/>
  <c r="O29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O24" l="1"/>
  <c r="D2" i="4" l="1"/>
  <c r="L131" i="43" l="1"/>
  <c r="M131" s="1"/>
  <c r="N131" s="1"/>
  <c r="H49" i="63" s="1"/>
  <c r="V71" i="32"/>
  <c r="V70" s="1"/>
  <c r="U71"/>
  <c r="U70" s="1"/>
  <c r="L71"/>
  <c r="L70" s="1"/>
  <c r="K71"/>
  <c r="K70" s="1"/>
  <c r="G71"/>
  <c r="F71"/>
  <c r="V63"/>
  <c r="R63" s="1"/>
  <c r="V62"/>
  <c r="U62"/>
  <c r="U61" s="1"/>
  <c r="L63"/>
  <c r="L76" s="1"/>
  <c r="L62"/>
  <c r="L75" s="1"/>
  <c r="K62"/>
  <c r="K61" s="1"/>
  <c r="G63"/>
  <c r="C63" s="1"/>
  <c r="G62"/>
  <c r="F62"/>
  <c r="U44"/>
  <c r="T42"/>
  <c r="T49" s="1"/>
  <c r="K44"/>
  <c r="K43"/>
  <c r="J42"/>
  <c r="J49" s="1"/>
  <c r="F44"/>
  <c r="F43"/>
  <c r="E42"/>
  <c r="E49" s="1"/>
  <c r="F20"/>
  <c r="K20"/>
  <c r="U20"/>
  <c r="R17"/>
  <c r="H17"/>
  <c r="C17"/>
  <c r="F13"/>
  <c r="U15" i="27"/>
  <c r="R43"/>
  <c r="H43"/>
  <c r="C44"/>
  <c r="I45"/>
  <c r="J45"/>
  <c r="K45"/>
  <c r="L45"/>
  <c r="S45"/>
  <c r="T45"/>
  <c r="U45"/>
  <c r="V45"/>
  <c r="D45"/>
  <c r="E45"/>
  <c r="F45"/>
  <c r="G45"/>
  <c r="C31" i="10"/>
  <c r="K11" i="84"/>
  <c r="J11"/>
  <c r="I11"/>
  <c r="D21" i="83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I9"/>
  <c r="D24" i="82"/>
  <c r="H23"/>
  <c r="G23"/>
  <c r="H22"/>
  <c r="G22"/>
  <c r="I22" s="1"/>
  <c r="H21"/>
  <c r="G21"/>
  <c r="I21" s="1"/>
  <c r="H20"/>
  <c r="G20"/>
  <c r="I20" s="1"/>
  <c r="H19"/>
  <c r="G19"/>
  <c r="H18"/>
  <c r="G18"/>
  <c r="H17"/>
  <c r="G17"/>
  <c r="I17" s="1"/>
  <c r="H16"/>
  <c r="G16"/>
  <c r="I16" s="1"/>
  <c r="H15"/>
  <c r="G15"/>
  <c r="I15" s="1"/>
  <c r="H14"/>
  <c r="G14"/>
  <c r="H13"/>
  <c r="G13"/>
  <c r="H12"/>
  <c r="H24" s="1"/>
  <c r="G12"/>
  <c r="H6" i="73"/>
  <c r="G5"/>
  <c r="L21" i="79"/>
  <c r="I21"/>
  <c r="F21"/>
  <c r="F20" s="1"/>
  <c r="F23"/>
  <c r="L20"/>
  <c r="L23" s="1"/>
  <c r="I20"/>
  <c r="I23" s="1"/>
  <c r="J11"/>
  <c r="K8"/>
  <c r="K9" s="1"/>
  <c r="E10" i="50"/>
  <c r="E7"/>
  <c r="C6" i="75"/>
  <c r="D6"/>
  <c r="K26" i="43"/>
  <c r="F6" i="75"/>
  <c r="P29" i="43"/>
  <c r="H21" i="73"/>
  <c r="G21"/>
  <c r="F21"/>
  <c r="E21"/>
  <c r="H20"/>
  <c r="G20"/>
  <c r="F20"/>
  <c r="E20"/>
  <c r="H19"/>
  <c r="G19"/>
  <c r="F19"/>
  <c r="E19"/>
  <c r="H18"/>
  <c r="G18"/>
  <c r="F18"/>
  <c r="E18"/>
  <c r="H17"/>
  <c r="G17"/>
  <c r="F17"/>
  <c r="E17"/>
  <c r="H15"/>
  <c r="G15"/>
  <c r="F15"/>
  <c r="E15"/>
  <c r="H14"/>
  <c r="G14"/>
  <c r="F14"/>
  <c r="E14"/>
  <c r="H13"/>
  <c r="G13"/>
  <c r="F13"/>
  <c r="E13"/>
  <c r="H12"/>
  <c r="G12"/>
  <c r="F12"/>
  <c r="E12"/>
  <c r="H11"/>
  <c r="G11"/>
  <c r="F11"/>
  <c r="E11"/>
  <c r="H9"/>
  <c r="G9"/>
  <c r="F9"/>
  <c r="E9"/>
  <c r="H8"/>
  <c r="G8"/>
  <c r="E8"/>
  <c r="F8"/>
  <c r="G7"/>
  <c r="G6"/>
  <c r="F6"/>
  <c r="E6"/>
  <c r="H5"/>
  <c r="E5"/>
  <c r="F5"/>
  <c r="G12" i="10"/>
  <c r="G24" s="1"/>
  <c r="L110" i="43"/>
  <c r="M110"/>
  <c r="N110"/>
  <c r="L111"/>
  <c r="M111"/>
  <c r="N111"/>
  <c r="K110"/>
  <c r="K111"/>
  <c r="K31" i="10"/>
  <c r="L31"/>
  <c r="M31"/>
  <c r="N31"/>
  <c r="J31"/>
  <c r="I31"/>
  <c r="H31"/>
  <c r="G31"/>
  <c r="F31"/>
  <c r="E31"/>
  <c r="D31"/>
  <c r="D10" i="48"/>
  <c r="K53" i="43" s="1"/>
  <c r="P25"/>
  <c r="P31"/>
  <c r="P32"/>
  <c r="P33"/>
  <c r="P34"/>
  <c r="P35"/>
  <c r="P37"/>
  <c r="P38"/>
  <c r="P39"/>
  <c r="P40"/>
  <c r="P43"/>
  <c r="P54"/>
  <c r="P55"/>
  <c r="P56"/>
  <c r="P57"/>
  <c r="P62"/>
  <c r="P64"/>
  <c r="P65"/>
  <c r="P68"/>
  <c r="P69"/>
  <c r="P70"/>
  <c r="P71"/>
  <c r="P72"/>
  <c r="P101"/>
  <c r="D39" i="63"/>
  <c r="C39"/>
  <c r="D27" i="45"/>
  <c r="C12" i="51"/>
  <c r="D12"/>
  <c r="E12"/>
  <c r="B12"/>
  <c r="E8" i="68"/>
  <c r="F8"/>
  <c r="D8"/>
  <c r="B8"/>
  <c r="B27" i="45"/>
  <c r="B7"/>
  <c r="B15" i="48"/>
  <c r="C49" i="32"/>
  <c r="H49"/>
  <c r="R49"/>
  <c r="B7" i="50"/>
  <c r="C7"/>
  <c r="F17" i="10"/>
  <c r="C12" i="32"/>
  <c r="C18"/>
  <c r="O7" i="47"/>
  <c r="O8"/>
  <c r="O9"/>
  <c r="O10"/>
  <c r="O11"/>
  <c r="O12"/>
  <c r="O13"/>
  <c r="O14"/>
  <c r="O15"/>
  <c r="O16"/>
  <c r="O17"/>
  <c r="O18"/>
  <c r="O19"/>
  <c r="O20"/>
  <c r="O21"/>
  <c r="O22"/>
  <c r="O23"/>
  <c r="O30"/>
  <c r="O31"/>
  <c r="O32"/>
  <c r="K26"/>
  <c r="K27"/>
  <c r="K28"/>
  <c r="K29"/>
  <c r="K30"/>
  <c r="K31"/>
  <c r="K32"/>
  <c r="E9" i="21"/>
  <c r="E10" s="1"/>
  <c r="F10" s="1"/>
  <c r="F39" i="63"/>
  <c r="D6" i="62"/>
  <c r="G19" i="61"/>
  <c r="D20"/>
  <c r="G20" s="1"/>
  <c r="H20" s="1"/>
  <c r="C7" i="45"/>
  <c r="C10" i="50"/>
  <c r="E21" i="65"/>
  <c r="K42" i="43" s="1"/>
  <c r="D21" i="65"/>
  <c r="B21"/>
  <c r="C6"/>
  <c r="H47" i="66"/>
  <c r="H41"/>
  <c r="H33"/>
  <c r="E6"/>
  <c r="H6" s="1"/>
  <c r="E12"/>
  <c r="H12" s="1"/>
  <c r="H26"/>
  <c r="E24"/>
  <c r="H24" s="1"/>
  <c r="E23"/>
  <c r="H23" s="1"/>
  <c r="H46"/>
  <c r="H45"/>
  <c r="H44"/>
  <c r="H42"/>
  <c r="H40"/>
  <c r="H39"/>
  <c r="H38"/>
  <c r="H36"/>
  <c r="H35"/>
  <c r="H29"/>
  <c r="E25"/>
  <c r="E22"/>
  <c r="H22" s="1"/>
  <c r="E21"/>
  <c r="H21" s="1"/>
  <c r="E17"/>
  <c r="H17" s="1"/>
  <c r="E16"/>
  <c r="H16" s="1"/>
  <c r="E15"/>
  <c r="H15" s="1"/>
  <c r="E13"/>
  <c r="H13" s="1"/>
  <c r="E10"/>
  <c r="E9"/>
  <c r="H9" s="1"/>
  <c r="E8"/>
  <c r="H8" s="1"/>
  <c r="E7"/>
  <c r="H7" s="1"/>
  <c r="J5" i="63"/>
  <c r="M5" s="1"/>
  <c r="I5"/>
  <c r="L5" s="1"/>
  <c r="H5"/>
  <c r="K5" s="1"/>
  <c r="D31" i="61"/>
  <c r="E6" i="62"/>
  <c r="E12"/>
  <c r="C31" i="61"/>
  <c r="B31"/>
  <c r="G18"/>
  <c r="B18"/>
  <c r="E17"/>
  <c r="E16"/>
  <c r="E15"/>
  <c r="E14"/>
  <c r="E13"/>
  <c r="E12"/>
  <c r="E11"/>
  <c r="E10"/>
  <c r="E9"/>
  <c r="E8"/>
  <c r="E7"/>
  <c r="E6"/>
  <c r="E10" i="55"/>
  <c r="D75" i="27"/>
  <c r="D74"/>
  <c r="L52" i="43"/>
  <c r="M52" s="1"/>
  <c r="N52" s="1"/>
  <c r="B10" i="50"/>
  <c r="H7"/>
  <c r="G7"/>
  <c r="D7"/>
  <c r="F7" s="1"/>
  <c r="E15" i="48"/>
  <c r="D15"/>
  <c r="D12" i="62"/>
  <c r="H10" i="50"/>
  <c r="H15" s="1"/>
  <c r="H17" s="1"/>
  <c r="G10"/>
  <c r="D10" i="49"/>
  <c r="F10"/>
  <c r="E10"/>
  <c r="B10"/>
  <c r="C15" i="48"/>
  <c r="E10"/>
  <c r="L53" i="43" s="1"/>
  <c r="C27" i="45"/>
  <c r="C21"/>
  <c r="C15"/>
  <c r="E27"/>
  <c r="E21"/>
  <c r="D21"/>
  <c r="B21"/>
  <c r="E15"/>
  <c r="D15"/>
  <c r="B15"/>
  <c r="E7"/>
  <c r="D7"/>
  <c r="AE34" i="19"/>
  <c r="AE33"/>
  <c r="AE32"/>
  <c r="AE31"/>
  <c r="AE30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E9"/>
  <c r="AE8"/>
  <c r="AB34"/>
  <c r="AB33"/>
  <c r="AB32"/>
  <c r="AB31"/>
  <c r="AB30"/>
  <c r="AB29"/>
  <c r="AB28"/>
  <c r="AB27"/>
  <c r="AB26"/>
  <c r="AB25"/>
  <c r="AB24"/>
  <c r="AB23"/>
  <c r="AB22"/>
  <c r="AB21"/>
  <c r="AB20"/>
  <c r="AB19"/>
  <c r="AB18"/>
  <c r="AB17"/>
  <c r="AB16"/>
  <c r="AB15"/>
  <c r="AB14"/>
  <c r="AB13"/>
  <c r="AB12"/>
  <c r="AB11"/>
  <c r="AB10"/>
  <c r="AB9"/>
  <c r="AB8"/>
  <c r="AB47" i="18"/>
  <c r="AB46"/>
  <c r="AB45"/>
  <c r="AB44"/>
  <c r="AB40"/>
  <c r="AB39"/>
  <c r="AB38"/>
  <c r="AB37"/>
  <c r="AB36"/>
  <c r="AB35"/>
  <c r="AB34"/>
  <c r="AB33"/>
  <c r="AB32"/>
  <c r="AB31"/>
  <c r="AB29"/>
  <c r="AB28"/>
  <c r="AB27"/>
  <c r="AB26"/>
  <c r="AB25"/>
  <c r="AB24"/>
  <c r="AB23"/>
  <c r="AB22"/>
  <c r="AB21"/>
  <c r="AB20"/>
  <c r="AB19"/>
  <c r="AB18"/>
  <c r="AB17"/>
  <c r="AB16"/>
  <c r="AB15"/>
  <c r="AB14"/>
  <c r="AB13"/>
  <c r="AB12"/>
  <c r="AB11"/>
  <c r="AB10"/>
  <c r="Y47"/>
  <c r="Y46"/>
  <c r="Y45"/>
  <c r="Y44"/>
  <c r="Y40"/>
  <c r="Y39"/>
  <c r="Y38"/>
  <c r="Y37"/>
  <c r="Y36"/>
  <c r="Y35"/>
  <c r="Y34"/>
  <c r="Y33"/>
  <c r="Y32"/>
  <c r="Y31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U76" i="32"/>
  <c r="T76"/>
  <c r="S76"/>
  <c r="K76"/>
  <c r="J76"/>
  <c r="I76"/>
  <c r="F76"/>
  <c r="E76"/>
  <c r="D76"/>
  <c r="T75"/>
  <c r="T74" s="1"/>
  <c r="S75"/>
  <c r="J75"/>
  <c r="I75"/>
  <c r="E75"/>
  <c r="E74" s="1"/>
  <c r="D75"/>
  <c r="R72"/>
  <c r="H72"/>
  <c r="C72"/>
  <c r="T70"/>
  <c r="S70"/>
  <c r="J70"/>
  <c r="I70"/>
  <c r="F70"/>
  <c r="E70"/>
  <c r="D70"/>
  <c r="R69"/>
  <c r="H69"/>
  <c r="C69"/>
  <c r="R68"/>
  <c r="H68"/>
  <c r="C68"/>
  <c r="V67"/>
  <c r="U67"/>
  <c r="T67"/>
  <c r="S67"/>
  <c r="L67"/>
  <c r="K67"/>
  <c r="J67"/>
  <c r="I67"/>
  <c r="G67"/>
  <c r="F67"/>
  <c r="E67"/>
  <c r="D67"/>
  <c r="R66"/>
  <c r="H66"/>
  <c r="C66"/>
  <c r="R65"/>
  <c r="H65"/>
  <c r="C65"/>
  <c r="V64"/>
  <c r="U64"/>
  <c r="T64"/>
  <c r="S64"/>
  <c r="L64"/>
  <c r="K64"/>
  <c r="J64"/>
  <c r="I64"/>
  <c r="G64"/>
  <c r="F64"/>
  <c r="E64"/>
  <c r="D64"/>
  <c r="T61"/>
  <c r="S61"/>
  <c r="J61"/>
  <c r="I61"/>
  <c r="E61"/>
  <c r="D61"/>
  <c r="V57"/>
  <c r="U57"/>
  <c r="T57"/>
  <c r="S57"/>
  <c r="L57"/>
  <c r="K57"/>
  <c r="J57"/>
  <c r="I57"/>
  <c r="G57"/>
  <c r="F57"/>
  <c r="E57"/>
  <c r="D57"/>
  <c r="R55"/>
  <c r="H55"/>
  <c r="C55"/>
  <c r="R54"/>
  <c r="R57" s="1"/>
  <c r="H54"/>
  <c r="C54"/>
  <c r="R53"/>
  <c r="H53"/>
  <c r="C53"/>
  <c r="V49"/>
  <c r="S49"/>
  <c r="L49"/>
  <c r="I49"/>
  <c r="G49"/>
  <c r="D49"/>
  <c r="V75" i="27"/>
  <c r="U75"/>
  <c r="T75"/>
  <c r="S75"/>
  <c r="L75"/>
  <c r="K75"/>
  <c r="J75"/>
  <c r="I75"/>
  <c r="G75"/>
  <c r="F75"/>
  <c r="E75"/>
  <c r="V74"/>
  <c r="U74"/>
  <c r="T74"/>
  <c r="S74"/>
  <c r="L74"/>
  <c r="K74"/>
  <c r="J74"/>
  <c r="I74"/>
  <c r="G74"/>
  <c r="F74"/>
  <c r="E74"/>
  <c r="R71"/>
  <c r="H71"/>
  <c r="C71"/>
  <c r="R70"/>
  <c r="H70"/>
  <c r="C70"/>
  <c r="V69"/>
  <c r="U69"/>
  <c r="T69"/>
  <c r="S69"/>
  <c r="L69"/>
  <c r="K69"/>
  <c r="J69"/>
  <c r="I69"/>
  <c r="G69"/>
  <c r="F69"/>
  <c r="E69"/>
  <c r="D69"/>
  <c r="R68"/>
  <c r="H68"/>
  <c r="C68"/>
  <c r="R67"/>
  <c r="H67"/>
  <c r="C67"/>
  <c r="V66"/>
  <c r="U66"/>
  <c r="T66"/>
  <c r="S66"/>
  <c r="L66"/>
  <c r="K66"/>
  <c r="J66"/>
  <c r="I66"/>
  <c r="G66"/>
  <c r="F66"/>
  <c r="E66"/>
  <c r="D66"/>
  <c r="R65"/>
  <c r="H65"/>
  <c r="C65"/>
  <c r="R64"/>
  <c r="H64"/>
  <c r="C64"/>
  <c r="V63"/>
  <c r="U63"/>
  <c r="T63"/>
  <c r="S63"/>
  <c r="L63"/>
  <c r="K63"/>
  <c r="J63"/>
  <c r="I63"/>
  <c r="G63"/>
  <c r="F63"/>
  <c r="E63"/>
  <c r="D63"/>
  <c r="R62"/>
  <c r="H62"/>
  <c r="C62"/>
  <c r="R61"/>
  <c r="H61"/>
  <c r="C61"/>
  <c r="V60"/>
  <c r="U60"/>
  <c r="T60"/>
  <c r="S60"/>
  <c r="L60"/>
  <c r="K60"/>
  <c r="J60"/>
  <c r="I60"/>
  <c r="G60"/>
  <c r="F60"/>
  <c r="E60"/>
  <c r="D60"/>
  <c r="V55"/>
  <c r="U55"/>
  <c r="T55"/>
  <c r="S55"/>
  <c r="L55"/>
  <c r="K55"/>
  <c r="J55"/>
  <c r="I55"/>
  <c r="G55"/>
  <c r="F55"/>
  <c r="E55"/>
  <c r="D55"/>
  <c r="R53"/>
  <c r="H53"/>
  <c r="C53"/>
  <c r="R52"/>
  <c r="H52"/>
  <c r="C52"/>
  <c r="R51"/>
  <c r="H51"/>
  <c r="C51"/>
  <c r="R44"/>
  <c r="H44"/>
  <c r="R42"/>
  <c r="H42"/>
  <c r="C42"/>
  <c r="R41"/>
  <c r="H41"/>
  <c r="C41"/>
  <c r="Y34" i="19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V9"/>
  <c r="V8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V47" i="18"/>
  <c r="V46"/>
  <c r="V45"/>
  <c r="V44"/>
  <c r="V40"/>
  <c r="V39"/>
  <c r="V38"/>
  <c r="V37"/>
  <c r="V36"/>
  <c r="V35"/>
  <c r="V34"/>
  <c r="V33"/>
  <c r="V32"/>
  <c r="V31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S47"/>
  <c r="S46"/>
  <c r="S45"/>
  <c r="S44"/>
  <c r="S40"/>
  <c r="S39"/>
  <c r="S38"/>
  <c r="S37"/>
  <c r="S36"/>
  <c r="S35"/>
  <c r="S34"/>
  <c r="S33"/>
  <c r="S32"/>
  <c r="S31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M47"/>
  <c r="M46"/>
  <c r="M45"/>
  <c r="M44"/>
  <c r="M40"/>
  <c r="M39"/>
  <c r="M38"/>
  <c r="M37"/>
  <c r="M36"/>
  <c r="M35"/>
  <c r="M34"/>
  <c r="M33"/>
  <c r="M32"/>
  <c r="M31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J47"/>
  <c r="J46"/>
  <c r="J45"/>
  <c r="J44"/>
  <c r="J40"/>
  <c r="J39"/>
  <c r="J38"/>
  <c r="J37"/>
  <c r="J36"/>
  <c r="J35"/>
  <c r="J34"/>
  <c r="J33"/>
  <c r="J32"/>
  <c r="J31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V20" i="32"/>
  <c r="V20" i="27"/>
  <c r="R16" i="32"/>
  <c r="L20" i="27"/>
  <c r="K20"/>
  <c r="L13"/>
  <c r="K13"/>
  <c r="J13"/>
  <c r="U20"/>
  <c r="S29"/>
  <c r="H23" i="21"/>
  <c r="I23" s="1"/>
  <c r="H32"/>
  <c r="I32" s="1"/>
  <c r="J29"/>
  <c r="H22"/>
  <c r="V13" i="27"/>
  <c r="T20" i="32"/>
  <c r="S20" i="27"/>
  <c r="T20"/>
  <c r="S13"/>
  <c r="R12"/>
  <c r="T13" i="32"/>
  <c r="S20"/>
  <c r="G24" i="18"/>
  <c r="G33"/>
  <c r="G37"/>
  <c r="G32" i="19"/>
  <c r="G33"/>
  <c r="G45" i="18"/>
  <c r="G46"/>
  <c r="G9" i="19"/>
  <c r="G10"/>
  <c r="H12" i="32"/>
  <c r="R12"/>
  <c r="D13"/>
  <c r="E13"/>
  <c r="G13"/>
  <c r="I13"/>
  <c r="J13"/>
  <c r="K13"/>
  <c r="L13"/>
  <c r="C14"/>
  <c r="H14"/>
  <c r="H15"/>
  <c r="C16"/>
  <c r="H16"/>
  <c r="H18"/>
  <c r="R18"/>
  <c r="D20"/>
  <c r="E20"/>
  <c r="G20"/>
  <c r="I20"/>
  <c r="J20"/>
  <c r="L20"/>
  <c r="C21"/>
  <c r="H21"/>
  <c r="C22"/>
  <c r="H22"/>
  <c r="R22"/>
  <c r="C23"/>
  <c r="H23"/>
  <c r="R23"/>
  <c r="D24"/>
  <c r="E24"/>
  <c r="F24"/>
  <c r="G24"/>
  <c r="I24"/>
  <c r="J24"/>
  <c r="K24"/>
  <c r="L24"/>
  <c r="S24"/>
  <c r="T24"/>
  <c r="U24"/>
  <c r="V24"/>
  <c r="C25"/>
  <c r="H25"/>
  <c r="R25"/>
  <c r="C26"/>
  <c r="H26"/>
  <c r="R26"/>
  <c r="C27"/>
  <c r="H27"/>
  <c r="R27"/>
  <c r="C28"/>
  <c r="H28"/>
  <c r="R28"/>
  <c r="D29"/>
  <c r="E29"/>
  <c r="E36" s="1"/>
  <c r="F29"/>
  <c r="G29"/>
  <c r="I29"/>
  <c r="J29"/>
  <c r="K29"/>
  <c r="L29"/>
  <c r="S29"/>
  <c r="T29"/>
  <c r="U29"/>
  <c r="V29"/>
  <c r="C30"/>
  <c r="H30"/>
  <c r="R30"/>
  <c r="C31"/>
  <c r="H31"/>
  <c r="R31"/>
  <c r="C32"/>
  <c r="H32"/>
  <c r="R32"/>
  <c r="R17" i="27"/>
  <c r="T13"/>
  <c r="G23" i="18"/>
  <c r="J36" i="21"/>
  <c r="J35"/>
  <c r="G15" i="18"/>
  <c r="G44"/>
  <c r="G31" i="19"/>
  <c r="G19"/>
  <c r="G14" i="18"/>
  <c r="E29" i="21"/>
  <c r="F29"/>
  <c r="G29"/>
  <c r="H18" i="27"/>
  <c r="C18"/>
  <c r="H17"/>
  <c r="C17"/>
  <c r="F9" i="21"/>
  <c r="F38"/>
  <c r="G38"/>
  <c r="E38"/>
  <c r="E36"/>
  <c r="F36"/>
  <c r="G36"/>
  <c r="E37"/>
  <c r="F37"/>
  <c r="G37"/>
  <c r="H27"/>
  <c r="I27" s="1"/>
  <c r="F35"/>
  <c r="G35"/>
  <c r="H30"/>
  <c r="I30" s="1"/>
  <c r="E35"/>
  <c r="H31"/>
  <c r="I31" s="1"/>
  <c r="H28"/>
  <c r="I28" s="1"/>
  <c r="H26"/>
  <c r="I26" s="1"/>
  <c r="H25"/>
  <c r="I25" s="1"/>
  <c r="J24"/>
  <c r="G24"/>
  <c r="F24"/>
  <c r="E24"/>
  <c r="F19"/>
  <c r="F18" s="1"/>
  <c r="G19"/>
  <c r="E19"/>
  <c r="H21"/>
  <c r="H20"/>
  <c r="G11" i="19"/>
  <c r="G12"/>
  <c r="G13"/>
  <c r="G14"/>
  <c r="G15"/>
  <c r="G16"/>
  <c r="G17"/>
  <c r="G18"/>
  <c r="G20"/>
  <c r="G21"/>
  <c r="G22"/>
  <c r="G23"/>
  <c r="G24"/>
  <c r="G25"/>
  <c r="G26"/>
  <c r="G27"/>
  <c r="G28"/>
  <c r="G29"/>
  <c r="G30"/>
  <c r="G34"/>
  <c r="G8"/>
  <c r="G47" i="18"/>
  <c r="G38"/>
  <c r="G34"/>
  <c r="G35"/>
  <c r="G36"/>
  <c r="G39"/>
  <c r="G40"/>
  <c r="G32"/>
  <c r="G31"/>
  <c r="G11"/>
  <c r="G12"/>
  <c r="G13"/>
  <c r="G16"/>
  <c r="G17"/>
  <c r="G18"/>
  <c r="G19"/>
  <c r="G20"/>
  <c r="G21"/>
  <c r="G22"/>
  <c r="G25"/>
  <c r="G26"/>
  <c r="G27"/>
  <c r="G28"/>
  <c r="G29"/>
  <c r="G10"/>
  <c r="G13" i="27"/>
  <c r="C12"/>
  <c r="I20"/>
  <c r="J20"/>
  <c r="I13"/>
  <c r="S24"/>
  <c r="T24"/>
  <c r="U24"/>
  <c r="G20"/>
  <c r="F20"/>
  <c r="F13"/>
  <c r="E20"/>
  <c r="E13"/>
  <c r="D20"/>
  <c r="H12"/>
  <c r="D13"/>
  <c r="C14"/>
  <c r="H14"/>
  <c r="R14"/>
  <c r="C15"/>
  <c r="H15"/>
  <c r="C16"/>
  <c r="H16"/>
  <c r="R16"/>
  <c r="R18"/>
  <c r="C21"/>
  <c r="H21"/>
  <c r="R21"/>
  <c r="C22"/>
  <c r="H22"/>
  <c r="R22"/>
  <c r="C23"/>
  <c r="H23"/>
  <c r="R23"/>
  <c r="D24"/>
  <c r="E24"/>
  <c r="F24"/>
  <c r="G24"/>
  <c r="I24"/>
  <c r="J24"/>
  <c r="K24"/>
  <c r="L24"/>
  <c r="V24"/>
  <c r="C25"/>
  <c r="H25"/>
  <c r="R25"/>
  <c r="C26"/>
  <c r="H26"/>
  <c r="R26"/>
  <c r="C27"/>
  <c r="H27"/>
  <c r="R27"/>
  <c r="C28"/>
  <c r="H28"/>
  <c r="R28"/>
  <c r="D29"/>
  <c r="E29"/>
  <c r="F29"/>
  <c r="G29"/>
  <c r="I29"/>
  <c r="J29"/>
  <c r="K29"/>
  <c r="L29"/>
  <c r="T29"/>
  <c r="U29"/>
  <c r="V29"/>
  <c r="C30"/>
  <c r="H30"/>
  <c r="R30"/>
  <c r="C31"/>
  <c r="H31"/>
  <c r="R31"/>
  <c r="C32"/>
  <c r="H32"/>
  <c r="R32"/>
  <c r="B9" i="18"/>
  <c r="C9" s="1"/>
  <c r="D9" s="1"/>
  <c r="E9" s="1"/>
  <c r="F9" s="1"/>
  <c r="E179" i="43"/>
  <c r="S13" i="32"/>
  <c r="R14"/>
  <c r="V13"/>
  <c r="J38" i="21"/>
  <c r="J34" s="1"/>
  <c r="J19"/>
  <c r="I22"/>
  <c r="K157" i="43"/>
  <c r="K158"/>
  <c r="I21" i="21"/>
  <c r="L36" i="32"/>
  <c r="G19"/>
  <c r="G7" s="1"/>
  <c r="G18" s="1"/>
  <c r="V36"/>
  <c r="D10" i="50"/>
  <c r="D15" s="1"/>
  <c r="D17" s="1"/>
  <c r="K46" i="43" s="1"/>
  <c r="P46" s="1"/>
  <c r="G9" i="60"/>
  <c r="G34" i="21"/>
  <c r="AB35" i="19"/>
  <c r="G16" i="60"/>
  <c r="G14"/>
  <c r="G12"/>
  <c r="G17"/>
  <c r="G15"/>
  <c r="G11"/>
  <c r="G8"/>
  <c r="G9" i="21"/>
  <c r="G11" s="1"/>
  <c r="I10" i="50"/>
  <c r="F16" i="63"/>
  <c r="E39"/>
  <c r="G7" i="60"/>
  <c r="H9" i="21"/>
  <c r="L179" i="43"/>
  <c r="I9" i="21"/>
  <c r="M179" i="43"/>
  <c r="K9" i="21"/>
  <c r="J9"/>
  <c r="N179" i="43"/>
  <c r="P36"/>
  <c r="V19" i="32"/>
  <c r="V7" s="1"/>
  <c r="S74"/>
  <c r="G39" i="63"/>
  <c r="K153" i="43"/>
  <c r="K152"/>
  <c r="L152"/>
  <c r="H10" i="73"/>
  <c r="H7"/>
  <c r="E7"/>
  <c r="F7"/>
  <c r="B15" i="50"/>
  <c r="B17" s="1"/>
  <c r="I19" i="32" l="1"/>
  <c r="R64"/>
  <c r="H67"/>
  <c r="Y30" i="18"/>
  <c r="I7" i="50"/>
  <c r="I13" i="83"/>
  <c r="I18"/>
  <c r="S36" i="27"/>
  <c r="F73"/>
  <c r="I73"/>
  <c r="U13"/>
  <c r="R13" s="1"/>
  <c r="U15" i="32"/>
  <c r="R15" s="1"/>
  <c r="K75" i="43"/>
  <c r="P75" s="1"/>
  <c r="S73" i="27"/>
  <c r="U73"/>
  <c r="T73"/>
  <c r="P41" i="43"/>
  <c r="H9" i="79"/>
  <c r="H11" s="1"/>
  <c r="I11" s="1"/>
  <c r="N10" i="43"/>
  <c r="T36" i="27"/>
  <c r="Y36" i="19"/>
  <c r="Y42" i="18"/>
  <c r="AB36" i="19"/>
  <c r="D21" i="61"/>
  <c r="G21" s="1"/>
  <c r="H21" s="1"/>
  <c r="G15" i="50"/>
  <c r="G17" s="1"/>
  <c r="J36" i="32"/>
  <c r="H24"/>
  <c r="E19"/>
  <c r="I74"/>
  <c r="I15" i="50"/>
  <c r="I17" s="1"/>
  <c r="C64" i="32"/>
  <c r="C67"/>
  <c r="H25" i="66"/>
  <c r="H28" s="1"/>
  <c r="H30" s="1"/>
  <c r="E28"/>
  <c r="E30" s="1"/>
  <c r="K24" i="43"/>
  <c r="J36" i="19"/>
  <c r="J35"/>
  <c r="V36"/>
  <c r="Y48" i="18"/>
  <c r="N13" i="43" s="1"/>
  <c r="E19" i="60"/>
  <c r="G49" i="63"/>
  <c r="F49"/>
  <c r="E49"/>
  <c r="K11" i="79"/>
  <c r="L11" s="1"/>
  <c r="L9"/>
  <c r="H16" i="73"/>
  <c r="L8" i="79"/>
  <c r="AB37" i="19"/>
  <c r="H36" i="21"/>
  <c r="E18"/>
  <c r="E34"/>
  <c r="J42" i="18"/>
  <c r="R67" i="32"/>
  <c r="J74"/>
  <c r="V76"/>
  <c r="R76" s="1"/>
  <c r="J19"/>
  <c r="H38" i="21"/>
  <c r="I36"/>
  <c r="Y35" i="19"/>
  <c r="Y37" s="1"/>
  <c r="C63" i="27"/>
  <c r="C75"/>
  <c r="AB30" i="18"/>
  <c r="D73" i="27"/>
  <c r="D6" i="55"/>
  <c r="D8" s="1"/>
  <c r="D22" i="61"/>
  <c r="J18" i="21"/>
  <c r="F34"/>
  <c r="M30" i="18"/>
  <c r="C57" i="32"/>
  <c r="G18" i="21"/>
  <c r="I37"/>
  <c r="L36" i="27"/>
  <c r="J36"/>
  <c r="G36"/>
  <c r="E36"/>
  <c r="H24"/>
  <c r="R15"/>
  <c r="C13"/>
  <c r="S19"/>
  <c r="R69"/>
  <c r="E73"/>
  <c r="V73"/>
  <c r="R75"/>
  <c r="H63" i="32"/>
  <c r="E19" i="27"/>
  <c r="R24"/>
  <c r="T19"/>
  <c r="C66"/>
  <c r="H66"/>
  <c r="R66"/>
  <c r="C69"/>
  <c r="G73"/>
  <c r="J73"/>
  <c r="L73"/>
  <c r="H75"/>
  <c r="G76" i="32"/>
  <c r="C76" s="1"/>
  <c r="K49"/>
  <c r="U49"/>
  <c r="G61"/>
  <c r="V75"/>
  <c r="F75"/>
  <c r="R70"/>
  <c r="L74"/>
  <c r="L61"/>
  <c r="H61" s="1"/>
  <c r="R62"/>
  <c r="C71"/>
  <c r="H62"/>
  <c r="J30" i="18"/>
  <c r="V42"/>
  <c r="M11" i="43" s="1"/>
  <c r="AB42" i="18"/>
  <c r="J43"/>
  <c r="J41" s="1"/>
  <c r="J48"/>
  <c r="M42"/>
  <c r="M48"/>
  <c r="S30"/>
  <c r="S42"/>
  <c r="V30"/>
  <c r="Y43"/>
  <c r="AB43"/>
  <c r="G43"/>
  <c r="M43"/>
  <c r="N11" i="43"/>
  <c r="S43" i="18"/>
  <c r="S41" s="1"/>
  <c r="S48"/>
  <c r="L13" i="43" s="1"/>
  <c r="P49"/>
  <c r="B6" i="45"/>
  <c r="I10" i="83"/>
  <c r="I11"/>
  <c r="I19"/>
  <c r="K8" i="63"/>
  <c r="K14"/>
  <c r="L16"/>
  <c r="F10"/>
  <c r="F13" s="1"/>
  <c r="M133" i="43"/>
  <c r="M139" s="1"/>
  <c r="I14" i="83"/>
  <c r="I16"/>
  <c r="I17"/>
  <c r="H16" i="63"/>
  <c r="H8"/>
  <c r="G15" i="10"/>
  <c r="G18" s="1"/>
  <c r="G21"/>
  <c r="K16" i="63"/>
  <c r="D11"/>
  <c r="D17"/>
  <c r="I16"/>
  <c r="H29" i="21"/>
  <c r="I29"/>
  <c r="H37"/>
  <c r="H24"/>
  <c r="K34" i="47"/>
  <c r="I9" i="79"/>
  <c r="L153" i="43"/>
  <c r="J37" i="19"/>
  <c r="G19" i="27"/>
  <c r="G7" s="1"/>
  <c r="G8" s="1"/>
  <c r="G11" s="1"/>
  <c r="G30" i="18"/>
  <c r="I36" i="32"/>
  <c r="C29"/>
  <c r="D19"/>
  <c r="G35" i="19"/>
  <c r="G48" i="18"/>
  <c r="C13" i="43" s="1"/>
  <c r="G42" i="18"/>
  <c r="V19" i="27"/>
  <c r="V7" s="1"/>
  <c r="V8" s="1"/>
  <c r="V11" s="1"/>
  <c r="V43" i="18"/>
  <c r="V41" s="1"/>
  <c r="V48"/>
  <c r="M13" i="43" s="1"/>
  <c r="S36" i="19"/>
  <c r="K11" i="43" s="1"/>
  <c r="S35" i="19"/>
  <c r="K10" i="43" s="1"/>
  <c r="H55" i="27"/>
  <c r="R55"/>
  <c r="H63"/>
  <c r="R63"/>
  <c r="H57" i="32"/>
  <c r="H70"/>
  <c r="F74"/>
  <c r="AB48" i="18"/>
  <c r="AE36" i="19"/>
  <c r="AE35"/>
  <c r="E6" i="45"/>
  <c r="C15" i="50"/>
  <c r="C17" s="1"/>
  <c r="P26" i="43"/>
  <c r="G75" i="32"/>
  <c r="L130" i="43"/>
  <c r="C20" i="27"/>
  <c r="G36" i="19"/>
  <c r="C11" i="43" s="1"/>
  <c r="I24" i="21"/>
  <c r="L19" i="32"/>
  <c r="L7" s="1"/>
  <c r="U19" i="27"/>
  <c r="K19"/>
  <c r="M10" i="43"/>
  <c r="V35" i="19"/>
  <c r="H60" i="27"/>
  <c r="H64" i="32"/>
  <c r="H76"/>
  <c r="P42" i="43"/>
  <c r="I18" i="82"/>
  <c r="G24"/>
  <c r="C13" i="32"/>
  <c r="K19"/>
  <c r="E15" i="50"/>
  <c r="E17" s="1"/>
  <c r="K47" i="43" s="1"/>
  <c r="I12" i="82"/>
  <c r="I13"/>
  <c r="I14"/>
  <c r="I19"/>
  <c r="I23"/>
  <c r="G21" i="83"/>
  <c r="I12"/>
  <c r="I15"/>
  <c r="I20"/>
  <c r="R20" i="32"/>
  <c r="F49"/>
  <c r="V61"/>
  <c r="R61" s="1"/>
  <c r="K75"/>
  <c r="K74" s="1"/>
  <c r="U75"/>
  <c r="D49" i="63"/>
  <c r="K148" i="43"/>
  <c r="R71" i="32"/>
  <c r="H71"/>
  <c r="G70"/>
  <c r="C70" s="1"/>
  <c r="F61"/>
  <c r="C62"/>
  <c r="R45" i="27"/>
  <c r="F36" i="32"/>
  <c r="C20"/>
  <c r="G36"/>
  <c r="G35" s="1"/>
  <c r="G34" s="1"/>
  <c r="G8"/>
  <c r="G11" s="1"/>
  <c r="L8"/>
  <c r="L11" s="1"/>
  <c r="K7" s="1"/>
  <c r="L18"/>
  <c r="K36"/>
  <c r="H36" s="1"/>
  <c r="U36"/>
  <c r="V8"/>
  <c r="V11" s="1"/>
  <c r="R21"/>
  <c r="C15"/>
  <c r="H69" i="27"/>
  <c r="R74"/>
  <c r="R60"/>
  <c r="K73"/>
  <c r="R20"/>
  <c r="V36"/>
  <c r="U36"/>
  <c r="H45"/>
  <c r="C45"/>
  <c r="H20"/>
  <c r="H13"/>
  <c r="C60"/>
  <c r="F19"/>
  <c r="V18" i="32"/>
  <c r="V35"/>
  <c r="V34" s="1"/>
  <c r="P30" i="43"/>
  <c r="H19" i="32"/>
  <c r="AE37" i="19"/>
  <c r="H22" i="73"/>
  <c r="F22"/>
  <c r="K147" i="43"/>
  <c r="K91"/>
  <c r="C24" i="27"/>
  <c r="D19"/>
  <c r="R29" i="32"/>
  <c r="T19"/>
  <c r="T36"/>
  <c r="C24"/>
  <c r="D36"/>
  <c r="F19"/>
  <c r="H13"/>
  <c r="I38" i="21"/>
  <c r="R29" i="27"/>
  <c r="L35" i="32"/>
  <c r="L34" s="1"/>
  <c r="D15" i="63"/>
  <c r="F10" i="50"/>
  <c r="F15" s="1"/>
  <c r="F17" s="1"/>
  <c r="K45" i="43" s="1"/>
  <c r="H29" i="32"/>
  <c r="L19" i="27"/>
  <c r="L7" s="1"/>
  <c r="I36"/>
  <c r="H20" i="32"/>
  <c r="U19"/>
  <c r="S36"/>
  <c r="H19" i="21"/>
  <c r="D36" i="27"/>
  <c r="R24" i="32"/>
  <c r="K36" i="27"/>
  <c r="H29"/>
  <c r="F36"/>
  <c r="C29"/>
  <c r="J19"/>
  <c r="I19"/>
  <c r="I20" i="21"/>
  <c r="H35"/>
  <c r="S19" i="32"/>
  <c r="C55" i="27"/>
  <c r="H74"/>
  <c r="D74" i="32"/>
  <c r="P52" i="43"/>
  <c r="C74" i="27"/>
  <c r="D6" i="45"/>
  <c r="C6"/>
  <c r="P60" i="43"/>
  <c r="P53"/>
  <c r="H21" i="83"/>
  <c r="P24" i="43" l="1"/>
  <c r="I24" i="82"/>
  <c r="U13" i="32"/>
  <c r="R13" s="1"/>
  <c r="V74"/>
  <c r="K28" i="43"/>
  <c r="P28" s="1"/>
  <c r="D10" i="55"/>
  <c r="R73" i="27"/>
  <c r="U7"/>
  <c r="U35" s="1"/>
  <c r="U34" s="1"/>
  <c r="H18" i="21"/>
  <c r="M41" i="18"/>
  <c r="M49" s="1"/>
  <c r="E10" i="73"/>
  <c r="F10" s="1"/>
  <c r="G10"/>
  <c r="C58" i="43"/>
  <c r="K58"/>
  <c r="L58" s="1"/>
  <c r="V37" i="19"/>
  <c r="L12" i="43" s="1"/>
  <c r="L11"/>
  <c r="G37" i="19"/>
  <c r="C12" i="43" s="1"/>
  <c r="C10"/>
  <c r="G41" i="18"/>
  <c r="G49" s="1"/>
  <c r="N12" i="43"/>
  <c r="N9" s="1"/>
  <c r="G25" i="10"/>
  <c r="F7" i="32"/>
  <c r="F18" s="1"/>
  <c r="E15" i="63"/>
  <c r="L15" s="1"/>
  <c r="Y41" i="18"/>
  <c r="E17" i="63"/>
  <c r="H17" s="1"/>
  <c r="AB41" i="18"/>
  <c r="C73" i="27"/>
  <c r="D23" i="61"/>
  <c r="G22"/>
  <c r="H22" s="1"/>
  <c r="H34" i="21"/>
  <c r="M130" i="43"/>
  <c r="E48" i="63"/>
  <c r="H73" i="27"/>
  <c r="G18"/>
  <c r="V18"/>
  <c r="G35"/>
  <c r="G34" s="1"/>
  <c r="F7"/>
  <c r="V35"/>
  <c r="V34" s="1"/>
  <c r="R75" i="32"/>
  <c r="R19" i="27"/>
  <c r="R4" s="1"/>
  <c r="G74" i="32"/>
  <c r="C75"/>
  <c r="C61"/>
  <c r="U74"/>
  <c r="R74" s="1"/>
  <c r="C74"/>
  <c r="H74"/>
  <c r="H75"/>
  <c r="J49" i="18"/>
  <c r="M40" i="19" s="1"/>
  <c r="D9" i="69" s="1"/>
  <c r="L10" i="43"/>
  <c r="H14" i="63"/>
  <c r="M153" i="43"/>
  <c r="H7" i="63"/>
  <c r="F14"/>
  <c r="F15" s="1"/>
  <c r="M152" i="43"/>
  <c r="L158"/>
  <c r="L148" s="1"/>
  <c r="N133"/>
  <c r="N139" s="1"/>
  <c r="L157"/>
  <c r="I21" i="83"/>
  <c r="E23" i="63"/>
  <c r="S37" i="19"/>
  <c r="I10" i="63"/>
  <c r="E16" i="73"/>
  <c r="F16" s="1"/>
  <c r="G16"/>
  <c r="R36" i="32"/>
  <c r="H4"/>
  <c r="L10" i="63"/>
  <c r="L128" i="43"/>
  <c r="M128" s="1"/>
  <c r="N128" s="1"/>
  <c r="P47"/>
  <c r="D48" i="63"/>
  <c r="M12" i="43"/>
  <c r="M9" s="1"/>
  <c r="K10" i="63"/>
  <c r="D12"/>
  <c r="K12" s="1"/>
  <c r="K9"/>
  <c r="E13"/>
  <c r="H10"/>
  <c r="C36" i="32"/>
  <c r="U7"/>
  <c r="U35" s="1"/>
  <c r="U34" s="1"/>
  <c r="R36" i="27"/>
  <c r="F18"/>
  <c r="F8"/>
  <c r="F10" s="1"/>
  <c r="E7" s="1"/>
  <c r="E18" s="1"/>
  <c r="F35"/>
  <c r="F34" s="1"/>
  <c r="P48" i="43"/>
  <c r="R19" i="32"/>
  <c r="R4" s="1"/>
  <c r="I35" i="21"/>
  <c r="I34" s="1"/>
  <c r="I19"/>
  <c r="I18" s="1"/>
  <c r="H36" i="27"/>
  <c r="P45" i="43"/>
  <c r="F35" i="32"/>
  <c r="F34" s="1"/>
  <c r="C19" i="27"/>
  <c r="C4" s="1"/>
  <c r="L9" i="63"/>
  <c r="H9"/>
  <c r="E12"/>
  <c r="P58" i="43"/>
  <c r="H19" i="27"/>
  <c r="H4" s="1"/>
  <c r="C36"/>
  <c r="L35"/>
  <c r="L34" s="1"/>
  <c r="L8"/>
  <c r="L11" s="1"/>
  <c r="K7" s="1"/>
  <c r="L18"/>
  <c r="K15" i="63"/>
  <c r="P91" i="43"/>
  <c r="C19" i="32"/>
  <c r="C4" s="1"/>
  <c r="K18"/>
  <c r="K35"/>
  <c r="K34" s="1"/>
  <c r="K8"/>
  <c r="K10" s="1"/>
  <c r="J7" s="1"/>
  <c r="S40" i="19" l="1"/>
  <c r="I9" i="43"/>
  <c r="E9" i="69"/>
  <c r="D12"/>
  <c r="K74" i="43" s="1"/>
  <c r="L147"/>
  <c r="U18" i="27"/>
  <c r="U8"/>
  <c r="U10" s="1"/>
  <c r="T7" s="1"/>
  <c r="T8" s="1"/>
  <c r="T9" s="1"/>
  <c r="S7" s="1"/>
  <c r="H15" i="63"/>
  <c r="K51" i="43"/>
  <c r="P51" s="1"/>
  <c r="M58"/>
  <c r="L51"/>
  <c r="K12"/>
  <c r="K9" s="1"/>
  <c r="K14" s="1"/>
  <c r="K15" s="1"/>
  <c r="F8" i="32"/>
  <c r="F10" s="1"/>
  <c r="E7" s="1"/>
  <c r="G13" i="60"/>
  <c r="F19"/>
  <c r="U18" i="32"/>
  <c r="C9" i="43"/>
  <c r="L9"/>
  <c r="M14" s="1"/>
  <c r="M15" s="1"/>
  <c r="I15" i="63"/>
  <c r="K17"/>
  <c r="F17"/>
  <c r="L17" s="1"/>
  <c r="E35" i="27"/>
  <c r="E34" s="1"/>
  <c r="D24" i="61"/>
  <c r="G23"/>
  <c r="H23" s="1"/>
  <c r="L126" i="43"/>
  <c r="E11" i="63"/>
  <c r="K11" s="1"/>
  <c r="N130" i="43"/>
  <c r="F48" i="63"/>
  <c r="K7"/>
  <c r="K129" i="43"/>
  <c r="L129" s="1"/>
  <c r="E8" i="27"/>
  <c r="E9" s="1"/>
  <c r="D7" s="1"/>
  <c r="D35" s="1"/>
  <c r="N14" i="43"/>
  <c r="N15" s="1"/>
  <c r="L14" i="63"/>
  <c r="I14"/>
  <c r="M158" i="43"/>
  <c r="M148" s="1"/>
  <c r="M157"/>
  <c r="M147" s="1"/>
  <c r="K13" i="63"/>
  <c r="F22"/>
  <c r="L122" i="43"/>
  <c r="L118"/>
  <c r="G16" i="63"/>
  <c r="L123" i="43"/>
  <c r="L117"/>
  <c r="G22" i="73"/>
  <c r="E22"/>
  <c r="L13" i="63"/>
  <c r="I13"/>
  <c r="H13"/>
  <c r="U8" i="32"/>
  <c r="U10" s="1"/>
  <c r="T7" s="1"/>
  <c r="T35" s="1"/>
  <c r="T34" s="1"/>
  <c r="T18" i="27"/>
  <c r="T35"/>
  <c r="T34" s="1"/>
  <c r="J8" i="32"/>
  <c r="J9" s="1"/>
  <c r="I7" s="1"/>
  <c r="J35"/>
  <c r="J34" s="1"/>
  <c r="J18"/>
  <c r="N152" i="43"/>
  <c r="N153"/>
  <c r="K35" i="27"/>
  <c r="K34" s="1"/>
  <c r="K18"/>
  <c r="K8"/>
  <c r="K10" s="1"/>
  <c r="J7" s="1"/>
  <c r="L12" i="63"/>
  <c r="H12"/>
  <c r="E8" i="32"/>
  <c r="E9" s="1"/>
  <c r="D7" s="1"/>
  <c r="E18"/>
  <c r="E35"/>
  <c r="E34" s="1"/>
  <c r="E12" i="69" l="1"/>
  <c r="L113" i="43"/>
  <c r="T8" i="32"/>
  <c r="T9" s="1"/>
  <c r="S7" s="1"/>
  <c r="S18" s="1"/>
  <c r="T18"/>
  <c r="N58" i="43"/>
  <c r="M51"/>
  <c r="C43" i="66"/>
  <c r="E43" s="1"/>
  <c r="E31" s="1"/>
  <c r="E55" s="1"/>
  <c r="D18" i="27"/>
  <c r="L14" i="43"/>
  <c r="L15" s="1"/>
  <c r="L47" s="1"/>
  <c r="M47" s="1"/>
  <c r="N47" s="1"/>
  <c r="K21" i="63"/>
  <c r="I17"/>
  <c r="H21"/>
  <c r="N129" i="43"/>
  <c r="H11" i="63"/>
  <c r="M129" i="43"/>
  <c r="D25" i="61"/>
  <c r="G24"/>
  <c r="M107" i="43"/>
  <c r="N107" s="1"/>
  <c r="M104"/>
  <c r="N104" s="1"/>
  <c r="L102"/>
  <c r="E50" i="63" s="1"/>
  <c r="H48"/>
  <c r="G48"/>
  <c r="N127" i="43"/>
  <c r="M126"/>
  <c r="M123"/>
  <c r="L160"/>
  <c r="M122"/>
  <c r="L119"/>
  <c r="L159"/>
  <c r="M117"/>
  <c r="L154"/>
  <c r="L112"/>
  <c r="L114"/>
  <c r="M118"/>
  <c r="L155"/>
  <c r="E11" i="10"/>
  <c r="E12" s="1"/>
  <c r="D23" i="63"/>
  <c r="K159" i="43"/>
  <c r="K119"/>
  <c r="K109" s="1"/>
  <c r="F23" i="63"/>
  <c r="L23" s="1"/>
  <c r="L22"/>
  <c r="I22"/>
  <c r="K160" i="43"/>
  <c r="K155"/>
  <c r="P107"/>
  <c r="K102"/>
  <c r="K22" i="63"/>
  <c r="H22"/>
  <c r="P104" i="43"/>
  <c r="P103"/>
  <c r="F21" i="63"/>
  <c r="I18" i="32"/>
  <c r="I35"/>
  <c r="S18" i="27"/>
  <c r="S35"/>
  <c r="D35" i="32"/>
  <c r="D18"/>
  <c r="J35" i="27"/>
  <c r="J34" s="1"/>
  <c r="J8"/>
  <c r="J9" s="1"/>
  <c r="I7" s="1"/>
  <c r="J18"/>
  <c r="N158" i="43"/>
  <c r="N148" s="1"/>
  <c r="N157"/>
  <c r="S35" i="32"/>
  <c r="C35" i="27"/>
  <c r="D34"/>
  <c r="C34" s="1"/>
  <c r="L156" i="43" l="1"/>
  <c r="L169" s="1"/>
  <c r="L21" i="63"/>
  <c r="F19"/>
  <c r="F6" i="10"/>
  <c r="L60" i="43"/>
  <c r="M60" s="1"/>
  <c r="N60" s="1"/>
  <c r="L45"/>
  <c r="M45" s="1"/>
  <c r="N45" s="1"/>
  <c r="N51"/>
  <c r="L46"/>
  <c r="M46" s="1"/>
  <c r="H20" i="63"/>
  <c r="H43" i="66"/>
  <c r="H55" s="1"/>
  <c r="K19" i="63"/>
  <c r="K20"/>
  <c r="H24" i="61"/>
  <c r="G25"/>
  <c r="H25" s="1"/>
  <c r="D26"/>
  <c r="M106" i="43"/>
  <c r="L105"/>
  <c r="N126"/>
  <c r="N103"/>
  <c r="M102"/>
  <c r="F50" i="63" s="1"/>
  <c r="L109" i="43"/>
  <c r="E52" i="63" s="1"/>
  <c r="L151" i="43"/>
  <c r="L168" s="1"/>
  <c r="L149"/>
  <c r="N122"/>
  <c r="M119"/>
  <c r="M159"/>
  <c r="N123"/>
  <c r="M160"/>
  <c r="N118"/>
  <c r="M113"/>
  <c r="M155"/>
  <c r="N117"/>
  <c r="M112"/>
  <c r="M114"/>
  <c r="M154"/>
  <c r="L150"/>
  <c r="K108"/>
  <c r="K125" s="1"/>
  <c r="E21" i="10"/>
  <c r="E15"/>
  <c r="E18" s="1"/>
  <c r="E24"/>
  <c r="K23" i="63"/>
  <c r="H23"/>
  <c r="P106" i="43"/>
  <c r="K105"/>
  <c r="I23" i="63"/>
  <c r="K156" i="43"/>
  <c r="K151"/>
  <c r="K149"/>
  <c r="K150"/>
  <c r="P102"/>
  <c r="D50" i="63"/>
  <c r="S34" i="27"/>
  <c r="R34" s="1"/>
  <c r="R35"/>
  <c r="N147" i="43"/>
  <c r="S34" i="32"/>
  <c r="R34" s="1"/>
  <c r="R35"/>
  <c r="D34"/>
  <c r="C34" s="1"/>
  <c r="C35"/>
  <c r="I18" i="27"/>
  <c r="I35"/>
  <c r="H35" i="32"/>
  <c r="I34"/>
  <c r="H34" s="1"/>
  <c r="I21" i="63"/>
  <c r="L19"/>
  <c r="F20"/>
  <c r="L20" s="1"/>
  <c r="E25" i="10" l="1"/>
  <c r="K168" i="43"/>
  <c r="K132"/>
  <c r="K169"/>
  <c r="M151"/>
  <c r="M168" s="1"/>
  <c r="L91"/>
  <c r="G6" i="10"/>
  <c r="G55" i="66"/>
  <c r="K146" i="43"/>
  <c r="S20" s="1"/>
  <c r="D27" i="61"/>
  <c r="G26"/>
  <c r="H26" s="1"/>
  <c r="H50" i="63"/>
  <c r="N102" i="43"/>
  <c r="G50" i="63" s="1"/>
  <c r="N106" i="43"/>
  <c r="M105"/>
  <c r="M109"/>
  <c r="F52" i="63" s="1"/>
  <c r="M150" i="43"/>
  <c r="N112"/>
  <c r="N114"/>
  <c r="N154"/>
  <c r="M149"/>
  <c r="M156"/>
  <c r="M169" s="1"/>
  <c r="N119"/>
  <c r="N159"/>
  <c r="N113"/>
  <c r="N155"/>
  <c r="N160"/>
  <c r="L132"/>
  <c r="N46"/>
  <c r="M91"/>
  <c r="L108"/>
  <c r="G10" i="63"/>
  <c r="E26" i="10"/>
  <c r="D52" i="63"/>
  <c r="J16"/>
  <c r="M16"/>
  <c r="P105" i="43"/>
  <c r="I20" i="63"/>
  <c r="I34" i="27"/>
  <c r="H34" s="1"/>
  <c r="H35"/>
  <c r="I19" i="63"/>
  <c r="G26" i="10" l="1"/>
  <c r="G10"/>
  <c r="Q30"/>
  <c r="N150" i="43"/>
  <c r="P108"/>
  <c r="D28" i="61"/>
  <c r="G27"/>
  <c r="H27" s="1"/>
  <c r="N105" i="43"/>
  <c r="M132"/>
  <c r="M145" s="1"/>
  <c r="N156"/>
  <c r="N169" s="1"/>
  <c r="N109"/>
  <c r="G52" i="63" s="1"/>
  <c r="M108" i="43"/>
  <c r="L125"/>
  <c r="E51" i="63" s="1"/>
  <c r="L146" i="43"/>
  <c r="N151"/>
  <c r="N168" s="1"/>
  <c r="N149"/>
  <c r="N91"/>
  <c r="L145"/>
  <c r="K145"/>
  <c r="M10" i="63"/>
  <c r="J10"/>
  <c r="G13"/>
  <c r="L124" i="43"/>
  <c r="M124" s="1"/>
  <c r="N124" s="1"/>
  <c r="K27" l="1"/>
  <c r="K22" s="1"/>
  <c r="R30" i="10"/>
  <c r="R31"/>
  <c r="G22" i="63"/>
  <c r="G23" s="1"/>
  <c r="M23" s="1"/>
  <c r="K167" i="43"/>
  <c r="D18" i="74" s="1"/>
  <c r="L167" i="43"/>
  <c r="D19" i="74" s="1"/>
  <c r="H52" i="63"/>
  <c r="G28" i="61"/>
  <c r="H28" s="1"/>
  <c r="D29"/>
  <c r="M146" i="43"/>
  <c r="N132"/>
  <c r="N108"/>
  <c r="M125"/>
  <c r="F51" i="63" s="1"/>
  <c r="G14"/>
  <c r="D51"/>
  <c r="L177" i="43"/>
  <c r="K177"/>
  <c r="J13" i="63"/>
  <c r="M13"/>
  <c r="L22" i="43" l="1"/>
  <c r="M22" s="1"/>
  <c r="N22" s="1"/>
  <c r="K59"/>
  <c r="Q31" i="10"/>
  <c r="M22" i="63"/>
  <c r="J23"/>
  <c r="J22"/>
  <c r="M177" i="43"/>
  <c r="M167"/>
  <c r="D20" i="74" s="1"/>
  <c r="G29" i="61"/>
  <c r="H29" s="1"/>
  <c r="D30"/>
  <c r="G30" s="1"/>
  <c r="H30" s="1"/>
  <c r="H51" i="63"/>
  <c r="N125" i="43"/>
  <c r="G51" i="63" s="1"/>
  <c r="N145" i="43"/>
  <c r="N146"/>
  <c r="M14" i="63"/>
  <c r="J14"/>
  <c r="G15"/>
  <c r="G17"/>
  <c r="H31" i="61" l="1"/>
  <c r="N167" i="43"/>
  <c r="J15" i="63"/>
  <c r="M15"/>
  <c r="G31" i="61"/>
  <c r="N177" i="43"/>
  <c r="J17" i="63"/>
  <c r="M17"/>
  <c r="P74" i="43" l="1"/>
  <c r="F11" i="21" l="1"/>
  <c r="G10"/>
  <c r="H10" l="1"/>
  <c r="I10" s="1"/>
  <c r="I11" l="1"/>
  <c r="K63" i="43" s="1"/>
  <c r="J10" i="21"/>
  <c r="G18" i="60" l="1"/>
  <c r="G19" s="1"/>
  <c r="K179" i="43"/>
  <c r="L63"/>
  <c r="K66"/>
  <c r="K67"/>
  <c r="J11" i="21"/>
  <c r="K10"/>
  <c r="K11" s="1"/>
  <c r="L67" i="43" l="1"/>
  <c r="P67"/>
  <c r="M63"/>
  <c r="N63" s="1"/>
  <c r="P63"/>
  <c r="P66"/>
  <c r="L66"/>
  <c r="M66" l="1"/>
  <c r="N66" s="1"/>
  <c r="M67"/>
  <c r="N67" s="1"/>
  <c r="L50"/>
  <c r="M50" s="1"/>
  <c r="N50" s="1"/>
  <c r="K44"/>
  <c r="P50"/>
  <c r="F21" i="10" l="1"/>
  <c r="F24" l="1"/>
  <c r="F15"/>
  <c r="F18" s="1"/>
  <c r="F25" l="1"/>
  <c r="F26" s="1"/>
  <c r="K23" i="43" l="1"/>
  <c r="P27"/>
  <c r="P59"/>
  <c r="K18" l="1"/>
  <c r="S17"/>
  <c r="L23"/>
  <c r="P23"/>
  <c r="R18" l="1"/>
  <c r="C29" i="74"/>
  <c r="K78" i="43"/>
  <c r="L18"/>
  <c r="M18" s="1"/>
  <c r="C31" i="74" s="1"/>
  <c r="K100" i="43"/>
  <c r="P100" s="1"/>
  <c r="L42"/>
  <c r="S16"/>
  <c r="S18"/>
  <c r="M23"/>
  <c r="P44"/>
  <c r="K73" l="1"/>
  <c r="P73" s="1"/>
  <c r="K79"/>
  <c r="P79" s="1"/>
  <c r="K81"/>
  <c r="P81" s="1"/>
  <c r="L100"/>
  <c r="C30" i="74"/>
  <c r="M42" i="43"/>
  <c r="N42" s="1"/>
  <c r="K83"/>
  <c r="K85" s="1"/>
  <c r="P78"/>
  <c r="K80"/>
  <c r="L59"/>
  <c r="L44" s="1"/>
  <c r="L78" s="1"/>
  <c r="L83" s="1"/>
  <c r="L85" s="1"/>
  <c r="N18"/>
  <c r="M100"/>
  <c r="N23"/>
  <c r="M59" l="1"/>
  <c r="K161"/>
  <c r="K170" s="1"/>
  <c r="C38" i="74"/>
  <c r="L164" i="43"/>
  <c r="C39" i="74"/>
  <c r="P80" i="43"/>
  <c r="K87"/>
  <c r="P87" s="1"/>
  <c r="K164"/>
  <c r="C18" i="74" s="1"/>
  <c r="G21" i="63"/>
  <c r="G19" s="1"/>
  <c r="K86" i="43"/>
  <c r="P85"/>
  <c r="S19"/>
  <c r="K90"/>
  <c r="K95" s="1"/>
  <c r="K166" s="1"/>
  <c r="K176"/>
  <c r="K88"/>
  <c r="P88" s="1"/>
  <c r="K82"/>
  <c r="P82" s="1"/>
  <c r="L81"/>
  <c r="L88" s="1"/>
  <c r="L73"/>
  <c r="L80"/>
  <c r="L87" s="1"/>
  <c r="L79"/>
  <c r="L86" s="1"/>
  <c r="L96" s="1"/>
  <c r="N100"/>
  <c r="N59"/>
  <c r="K96"/>
  <c r="P96" s="1"/>
  <c r="L161"/>
  <c r="L170" s="1"/>
  <c r="L90"/>
  <c r="L176"/>
  <c r="N3" l="1"/>
  <c r="K175"/>
  <c r="K89"/>
  <c r="P89" s="1"/>
  <c r="P86"/>
  <c r="K92"/>
  <c r="P92" s="1"/>
  <c r="G20" i="63"/>
  <c r="J20" s="1"/>
  <c r="P90" i="43"/>
  <c r="M21" i="63"/>
  <c r="K165" i="43"/>
  <c r="J21" i="63"/>
  <c r="K93" i="43"/>
  <c r="P93" s="1"/>
  <c r="K162"/>
  <c r="K171" s="1"/>
  <c r="L82"/>
  <c r="L89" s="1"/>
  <c r="K163"/>
  <c r="K172" s="1"/>
  <c r="P95"/>
  <c r="L95"/>
  <c r="L166" s="1"/>
  <c r="L165"/>
  <c r="K174"/>
  <c r="E16" i="74"/>
  <c r="L162" i="43"/>
  <c r="L171" s="1"/>
  <c r="L92"/>
  <c r="L97" s="1"/>
  <c r="L93"/>
  <c r="L98" s="1"/>
  <c r="M19" i="63"/>
  <c r="J19"/>
  <c r="L175" i="43"/>
  <c r="M20" i="63" l="1"/>
  <c r="K97" i="43"/>
  <c r="P97" s="1"/>
  <c r="K98"/>
  <c r="P98" s="1"/>
  <c r="K94"/>
  <c r="P94" s="1"/>
  <c r="L163"/>
  <c r="L172" s="1"/>
  <c r="L94"/>
  <c r="L99" s="1"/>
  <c r="L174"/>
  <c r="E17" i="74"/>
  <c r="M44" i="43"/>
  <c r="M78" s="1"/>
  <c r="K99" l="1"/>
  <c r="P99" s="1"/>
  <c r="M83"/>
  <c r="M80"/>
  <c r="M87" s="1"/>
  <c r="M73"/>
  <c r="M79"/>
  <c r="M86" s="1"/>
  <c r="M96" s="1"/>
  <c r="M81"/>
  <c r="M88" s="1"/>
  <c r="N44"/>
  <c r="N78" s="1"/>
  <c r="N83" l="1"/>
  <c r="N79"/>
  <c r="N86" s="1"/>
  <c r="N96" s="1"/>
  <c r="N81"/>
  <c r="N88" s="1"/>
  <c r="N80"/>
  <c r="N87" s="1"/>
  <c r="N73"/>
  <c r="M82"/>
  <c r="M89" s="1"/>
  <c r="M85"/>
  <c r="C40" i="74" s="1"/>
  <c r="M164" i="43" l="1"/>
  <c r="C19" i="74" s="1"/>
  <c r="M176" i="43"/>
  <c r="M90"/>
  <c r="M95" s="1"/>
  <c r="M161"/>
  <c r="N82"/>
  <c r="N89" s="1"/>
  <c r="N85"/>
  <c r="N161" l="1"/>
  <c r="N90"/>
  <c r="N164"/>
  <c r="C20" i="74" s="1"/>
  <c r="N176" i="43"/>
  <c r="M175"/>
  <c r="M170"/>
  <c r="M166"/>
  <c r="M163"/>
  <c r="M172" s="1"/>
  <c r="M162"/>
  <c r="M171" s="1"/>
  <c r="M93"/>
  <c r="M98" s="1"/>
  <c r="M92"/>
  <c r="M97" s="1"/>
  <c r="M165"/>
  <c r="M94" l="1"/>
  <c r="M99" s="1"/>
  <c r="N165"/>
  <c r="N92"/>
  <c r="N97" s="1"/>
  <c r="N93"/>
  <c r="N98" s="1"/>
  <c r="N162"/>
  <c r="N171" s="1"/>
  <c r="N170"/>
  <c r="N175"/>
  <c r="E18" i="74"/>
  <c r="M174" i="43"/>
  <c r="N95"/>
  <c r="E19" i="74" l="1"/>
  <c r="E20"/>
  <c r="N174" i="43"/>
  <c r="N166"/>
  <c r="N163"/>
  <c r="N172" s="1"/>
  <c r="N94"/>
  <c r="N99" s="1"/>
  <c r="G12" i="63" l="1"/>
  <c r="G8"/>
  <c r="G7" s="1"/>
  <c r="M9"/>
  <c r="I9"/>
  <c r="J9"/>
  <c r="F12"/>
  <c r="M12" s="1"/>
  <c r="F8"/>
  <c r="I8" s="1"/>
  <c r="F7" l="1"/>
  <c r="L7" s="1"/>
  <c r="I12"/>
  <c r="J12"/>
  <c r="G11"/>
  <c r="L8"/>
  <c r="J8"/>
  <c r="I7"/>
  <c r="M8"/>
  <c r="F11" l="1"/>
  <c r="L11" s="1"/>
  <c r="J7"/>
  <c r="M7"/>
  <c r="D124" i="43"/>
  <c r="D107"/>
  <c r="J11" i="63" l="1"/>
  <c r="I11"/>
  <c r="M11"/>
  <c r="C21" i="65"/>
  <c r="I127" i="43" l="1"/>
  <c r="I128" s="1"/>
</calcChain>
</file>

<file path=xl/sharedStrings.xml><?xml version="1.0" encoding="utf-8"?>
<sst xmlns="http://schemas.openxmlformats.org/spreadsheetml/2006/main" count="3457" uniqueCount="1527">
  <si>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</si>
  <si>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</si>
  <si>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</si>
  <si>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тыс.кВт</t>
  </si>
  <si>
    <t>ОАО "РЭСК"</t>
  </si>
  <si>
    <t>Таблица № 1.5.</t>
  </si>
  <si>
    <t>1.3</t>
  </si>
  <si>
    <t>1.4</t>
  </si>
  <si>
    <t>4.3.</t>
  </si>
  <si>
    <t>Суммарный полезный отпуск на сторону</t>
  </si>
  <si>
    <t>Потери, отнесенные на сторонних потребителей</t>
  </si>
  <si>
    <t>Расчетное поступление в сеть для сторонних потребителей</t>
  </si>
  <si>
    <t>Расчетное поступление мощности для сторонних потребителей</t>
  </si>
  <si>
    <t>Суммарная мощность на сторону</t>
  </si>
  <si>
    <t>(наименование сетевой организации)</t>
  </si>
  <si>
    <t>Сводный коэффициент индексации</t>
  </si>
  <si>
    <t>в т.ч. поступление отнесенное на сторонних</t>
  </si>
  <si>
    <t>Ставка на оплату технологического расхода потерь, руб./МВтч</t>
  </si>
  <si>
    <t>Одноставочный тариф, руб./МВтч</t>
  </si>
  <si>
    <t>2.3</t>
  </si>
  <si>
    <t>2.4</t>
  </si>
  <si>
    <t>2.5</t>
  </si>
  <si>
    <t>2.6</t>
  </si>
  <si>
    <t>3</t>
  </si>
  <si>
    <t>Индекс эффективности подконтрольных расходов (X - устанавливается регулирующим органом в пределах от 1% до 2,5%)</t>
  </si>
  <si>
    <t>Коэффициент элластичности ПР (Кэл) ( на первый долгосрочный период -0,75)</t>
  </si>
  <si>
    <t>Индекс потребительских цен (I)</t>
  </si>
  <si>
    <t>Количество активов (уе)</t>
  </si>
  <si>
    <t>Индекс изменения количества активов</t>
  </si>
  <si>
    <t>Коэффициент корректировки НВВ с учетом надежности и качества услуг, % (Кнад)</t>
  </si>
  <si>
    <t>Индекс роста цен на электрическую энергию</t>
  </si>
  <si>
    <t>Неподконтрольные расходы (НР) тыс.руб.:</t>
  </si>
  <si>
    <t>Итого НВВ (без учета оплаты потерь) тыс.руб.</t>
  </si>
  <si>
    <t>Итого НВВ на сторонних (без учета оплаты потерь) тыс.руб.</t>
  </si>
  <si>
    <t>Поступление в сеть, тыс.кВт.ч</t>
  </si>
  <si>
    <t>Технологический расход (потерь) электрической энергии тыс.кВт.ч</t>
  </si>
  <si>
    <t>Величина полезного отпуска электрической энергии, тыс.кВт.ч</t>
  </si>
  <si>
    <t>НВВ в части оплаты потерь (на сторонних) тыс.руб.</t>
  </si>
  <si>
    <t>НВВ на сторонних (с учетом оплаты потерь) тыс.руб.</t>
  </si>
  <si>
    <t>аммортизация  тыс.руб.</t>
  </si>
  <si>
    <t>капвложения из прибыли  тыс.руб.</t>
  </si>
  <si>
    <t>заемные средства  тыс.руб.</t>
  </si>
  <si>
    <t>техприсоединение  тыс.руб.</t>
  </si>
  <si>
    <t>прочее   тыс.руб.</t>
  </si>
  <si>
    <t>ремонт основных средств</t>
  </si>
  <si>
    <t>Расходы долгосрочного периода регулирования, связанные с компенсацией незапланированных расходов (со знаком "плюс") или полученного избытка (со знаком "минус"), выявленных по итогам последнего истекшего года долгосрочного периода регулирования тыс.руб.</t>
  </si>
  <si>
    <t>Корректировка необходимой валовой выручки, осуществляемая с учетом достижения установленного уровня надежности и качества услуг  тыс.руб.</t>
  </si>
  <si>
    <t>6</t>
  </si>
  <si>
    <t>7</t>
  </si>
  <si>
    <t>8</t>
  </si>
  <si>
    <t>Величина присоединенной мощности  МВА</t>
  </si>
  <si>
    <t>Базовый уровень подконтрольных расходов, отнесенных на сторонних потребителей</t>
  </si>
  <si>
    <t>Материальные затраты</t>
  </si>
  <si>
    <t>1.1.1</t>
  </si>
  <si>
    <t>Сырье, материалы,запасные части, инструмент,топливо</t>
  </si>
  <si>
    <t>1.1.2</t>
  </si>
  <si>
    <t>Работы и услуги производственного характера( в т.ч. Услуги сторонних организаций по содержанию сетей и распределительных устройств)</t>
  </si>
  <si>
    <t>Расходы на оплату труда</t>
  </si>
  <si>
    <t>Прочие расходы, всего, в т.ч:</t>
  </si>
  <si>
    <t>1.3.1</t>
  </si>
  <si>
    <t>1.3.2</t>
  </si>
  <si>
    <t>Оплата работ и услуг сторонних организаций</t>
  </si>
  <si>
    <t>1.3.2.1</t>
  </si>
  <si>
    <t>услуги связи</t>
  </si>
  <si>
    <t>Расходы на услуги внедедомственной охраны и коммунального хозяйства</t>
  </si>
  <si>
    <t>1.3.2.2</t>
  </si>
  <si>
    <t>1.3.2.3</t>
  </si>
  <si>
    <t>Расходы на юридические и информационные услуги</t>
  </si>
  <si>
    <t>1.3.2.4</t>
  </si>
  <si>
    <t>Расходы на аудиторские и консультационные услуги</t>
  </si>
  <si>
    <t>1.3.2.5</t>
  </si>
  <si>
    <t>Транспортные услуги</t>
  </si>
  <si>
    <t>1.3.2.6</t>
  </si>
  <si>
    <t>Прочие услуги сторонних организаций</t>
  </si>
  <si>
    <t>1.3.3</t>
  </si>
  <si>
    <t>Расходы на командировки и представительские</t>
  </si>
  <si>
    <t>1.3.4</t>
  </si>
  <si>
    <t>Расходы на подготовку кадров</t>
  </si>
  <si>
    <t>1.3.5</t>
  </si>
  <si>
    <t>Расходы на обеспечение нормальных условий труда и мер по технике безопасности</t>
  </si>
  <si>
    <t xml:space="preserve">1.3.6 </t>
  </si>
  <si>
    <t>Расходы на страхование</t>
  </si>
  <si>
    <t>1.3.7</t>
  </si>
  <si>
    <t>Другие прочие расходы</t>
  </si>
  <si>
    <t>Подконтрольные расходы из прибыли</t>
  </si>
  <si>
    <t>ИТОГО подконтрольные расходы (ПР) тыс.руб</t>
  </si>
  <si>
    <t>Расчет подконтрольных расходов</t>
  </si>
  <si>
    <t>Расчет  неподконтрольных расходов</t>
  </si>
  <si>
    <t>Оплата услуг ОАО "ФСК ЕЭС"</t>
  </si>
  <si>
    <t>Электроэнергия на хоз. нужды</t>
  </si>
  <si>
    <t>Налоги всего, в т.ч.:</t>
  </si>
  <si>
    <t>2.5.1</t>
  </si>
  <si>
    <t>Плата за землю</t>
  </si>
  <si>
    <t>2.5.2</t>
  </si>
  <si>
    <t>налог на имущество</t>
  </si>
  <si>
    <t>2.5.3</t>
  </si>
  <si>
    <t>прочие налоги и сборы</t>
  </si>
  <si>
    <t>Отчисления на социальные нужды</t>
  </si>
  <si>
    <t>Прочие неподконтрольные расходы</t>
  </si>
  <si>
    <t>2.7</t>
  </si>
  <si>
    <t>2.8</t>
  </si>
  <si>
    <t>Налог на прибыль</t>
  </si>
  <si>
    <t>2.9</t>
  </si>
  <si>
    <t>2.10</t>
  </si>
  <si>
    <t>Аммортизация ОС</t>
  </si>
  <si>
    <t>2.11</t>
  </si>
  <si>
    <t>Прибыль на капитальные вложения</t>
  </si>
  <si>
    <t>Проверка прибыли на капвложения( не более  12% от НВВ на содержание сетей)</t>
  </si>
  <si>
    <t>Перечень необходимой документации, подаваемой организацией, оказывающей услуги по передаче электроэнергии, в  ГУ РЭК Рязанской области для установления тарифов на услуги по передаче электроэнергии.</t>
  </si>
  <si>
    <t>Рязанской области</t>
  </si>
  <si>
    <t>Год</t>
  </si>
  <si>
    <t>Двухставочный тариф</t>
  </si>
  <si>
    <t>Одноставочный тариф</t>
  </si>
  <si>
    <t>Ставка за содержание электрических сетей&lt;*&gt;</t>
  </si>
  <si>
    <t>Ставка на оплату технологического расхода (потерь)</t>
  </si>
  <si>
    <t>руб./МВт.ч</t>
  </si>
  <si>
    <t>Индекс эффективности подконтрольных расходов</t>
  </si>
  <si>
    <t>НВВ сетевых организаций без учета оплаты потерь (отнесенная на сторонних потребителей)</t>
  </si>
  <si>
    <t>Адрес ЕИАС</t>
  </si>
  <si>
    <t>ОКТМО</t>
  </si>
  <si>
    <t xml:space="preserve">Расчетные материалы на ___ листах прилагаются. </t>
  </si>
  <si>
    <t>4.Учредительные документы</t>
  </si>
  <si>
    <t>5. Документы, подтверждающие право собственности на сетевое имущество</t>
  </si>
  <si>
    <t>6. Пояснительная записка</t>
  </si>
  <si>
    <t>7. Расчетные таблицы</t>
  </si>
  <si>
    <t xml:space="preserve">Отчетность , содержащая данные раздельного учета , ведется по формам согласно приложению №1 к Порядку и предосталяется субъектами естественных монополий ( в т.ч. в электронном виде) вместе с бухгалтерской отчетностью организации. </t>
  </si>
  <si>
    <t>Заявление подписывается руководителем организации, заверяется печатью, должно содержать наименование и реквизиты организации.</t>
  </si>
  <si>
    <t>Наименование обосновывающих материалов</t>
  </si>
  <si>
    <t>Показатели, для которых используются материалы</t>
  </si>
  <si>
    <t>Анализ хозяйственной деятельности</t>
  </si>
  <si>
    <t>- Бухгалтерский баланс (форма N 1);</t>
  </si>
  <si>
    <t>- Отчет о прибылях и убытках (форма N 2);</t>
  </si>
  <si>
    <t>- Отчет об изменениях капитала (форма N 3-годовая);</t>
  </si>
  <si>
    <t>- Отчет о движении денежных средств (форма N 4-годовая);</t>
  </si>
  <si>
    <t>- Приложение к бухгалтерскому балансу (форма N 5-годовая).</t>
  </si>
  <si>
    <t>Пояснительная записка к балансу.</t>
  </si>
  <si>
    <t>3. Копия приказа об учетной политике организации, заверенная в установленном порядке.</t>
  </si>
  <si>
    <r>
      <t>1.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Плановая покупка электрической энергии сбытовой организацией (в части поступления в сеть данной сетевой организации, согласованное со сбытовой компанией).</t>
    </r>
  </si>
  <si>
    <t>Объем поступления и отпуска электрической энергии, перетоки между уровнями напряжения</t>
  </si>
  <si>
    <r>
      <t>2.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Баланс электрической энергии (мощности) по сетям ВН, СН1, СН2 и НН (таблицы 1.4.,1.5)</t>
    </r>
  </si>
  <si>
    <r>
      <t>3.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Расчет технологического расхода электрической энергии (потерь) в электрических сетях (таблица 1.3)</t>
    </r>
  </si>
  <si>
    <t>Состав оборудования</t>
  </si>
  <si>
    <t>1. Расчет стоимости покупной энергии на технологические цели (потери ФСК) (Таблица П 1.12)</t>
  </si>
  <si>
    <t>Затраты на услуги по передаче электроэнергии по ЕНЭС</t>
  </si>
  <si>
    <t>2. Расчет суммы платы  за услуги по организации функционирования и развитию Единой энергетической системы России и организации функционирования торговой системы оптового рынка электрической энергии (мощности), передаче электроэнергии по ЕНЭС. (таблица П 1.13)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</si>
  <si>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Смета затрат на содержание сетей (таблица 1.15) и калькуляция расходов, связанных с передачей электрической энергии (таблица 1.18.2)</t>
    </r>
  </si>
  <si>
    <t>Затраты на регулируемую деятельность</t>
  </si>
  <si>
    <t>2. Расчет расходов на сырье, основные и вспомогательные материалы на расчетный период регулирования с выделением расходов на ремонт основных средств, включая:</t>
  </si>
  <si>
    <t>- динамику годовых объемов потребления основных и вспомогательных материалов за последние 3 года;</t>
  </si>
  <si>
    <t>- счета-фактуры с текущими ценами на момент регулирования;</t>
  </si>
  <si>
    <t>- нормы и нормативы расхода материалов с указанием регламентирующих документов.</t>
  </si>
  <si>
    <t>3. Расчет расходов на работы и услуги производственного характера на расчетный период регулирования с выделением расходов на ремонт основных средств, включая:</t>
  </si>
  <si>
    <t>- расшифровку данных расходов;</t>
  </si>
  <si>
    <t>- отчет о фактических расходах за последние 3 года;</t>
  </si>
  <si>
    <t>4. Расчет стоимости покупной электрической и тепловой энергии (мощности) на хозяйственные (производственные) нужды исходя из тарифов, прогнозируемых на расчетный период регулирования, с обоснованием объемов покупки.</t>
  </si>
  <si>
    <t>5. Расчет расходов на оплату труда (таблица 1.16), определяемого с учетом отраслевых тарифных соглашений и фактического объема фонда оплаты труда, сложившегося за период, предшествующий регулируемому, с приложением следующих материалов:</t>
  </si>
  <si>
    <t>- штатное расписание с указанием ступеней (разрядов) по оплате труда работников организации по форме № Т-3;</t>
  </si>
  <si>
    <t>- коллективный договор (с положениями о премировании работников и руководителей);</t>
  </si>
  <si>
    <t>- расчет нормативной численности по подразделениям и по предприятию в целом;</t>
  </si>
  <si>
    <t>- расчет средней ступени по оплате труда (среднего разряда работников) и среднего тарифного коэффициента;</t>
  </si>
  <si>
    <t>- тарифная ставка первого разряда (установленная в соответствии с ОТС, фактическая);</t>
  </si>
  <si>
    <t>- расчет процента выплат, связанных с условиями труда;</t>
  </si>
  <si>
    <t>- расчетная ведомость по оплате труда.</t>
  </si>
  <si>
    <t>6. Расчет отчислений на социальные нужды на расчетный период регулирования с учетом регрессивной шкалы по единому социальному налогу.</t>
  </si>
  <si>
    <t>7. Уведомление фонда социального страхования о размере платы за обязательное страхование от несчастных случаев на производстве.</t>
  </si>
  <si>
    <r>
      <t>8.</t>
    </r>
    <r>
      <rPr>
        <sz val="7"/>
        <rFont val="Times New Roman"/>
        <family val="1"/>
        <charset val="204"/>
      </rPr>
      <t xml:space="preserve">    </t>
    </r>
    <r>
      <rPr>
        <sz val="14"/>
        <rFont val="Times New Roman"/>
        <family val="1"/>
        <charset val="204"/>
      </rPr>
      <t>Расчет амортизационных отчислений на восстановление основных производственных фондов (таблица 17), включая:</t>
    </r>
  </si>
  <si>
    <t>- отчет об использовании амортизационных отчислений за 2 последних года;</t>
  </si>
  <si>
    <t>- расчет амортизации по вновь вводимым объектам на расчетный период регулирования;</t>
  </si>
  <si>
    <t>- приказы о проведении переоценки основных средств;</t>
  </si>
  <si>
    <t>- заключение по оценке рыночной стоимости имущества;</t>
  </si>
  <si>
    <t>- перечень объектов и их стоимость, по которым прекращено начисление амортизации, за период, предшествующий регулируемому, и на расчетный период регулирования;</t>
  </si>
  <si>
    <t>- перечень объектов и их стоимость, планируемых к списанию, за период, предшествующий регулируемому, и на расчетный период регулирования с указанием из остаточной стоимости.</t>
  </si>
  <si>
    <t>- расчет среднегодовой стоимости основных производственных фондов по линиям электропередач и подстанциям (таблица 1.17.1).</t>
  </si>
  <si>
    <t>9. Расчет расходов на ремонт в расчетном периоде регулирования, включая:</t>
  </si>
  <si>
    <t>- программы проведения ремонтных работ, утвержденные организациями, осуществляющими регулируемую деятельность на расчетный период регулирования. Графики капитальных, средних и текущих ремонтов;</t>
  </si>
  <si>
    <t>- расчет стоимости ремонтных работ на расчетный период регулирования в соответствии с нормативами расходов на ремонт основных производственных фондов;</t>
  </si>
  <si>
    <t>- сметную документацию на ремонтные работы, планируемые в расчетном периоде регулирования;</t>
  </si>
  <si>
    <t>- заключения экспертиз технического состояния производственного оборудования, предписания органов технадзора, дефектные ведомости на ремонтные работы, проводимые в расчетном периоде регулирования;</t>
  </si>
  <si>
    <t>- отчет о фактически выполненных ремонтах за 3 последних года с указанием объемов и стоимости работ и средствах, учтенных в тарифе на эти цели.</t>
  </si>
  <si>
    <t>10. Расчет расходов на проведение НИОКР на расчетный период регулирования, включая:</t>
  </si>
  <si>
    <t>- программу НИОКР;</t>
  </si>
  <si>
    <t>- обоснование необходимости проведения работ;</t>
  </si>
  <si>
    <t>- договоры на выполнение работ;</t>
  </si>
  <si>
    <t>- отчет о выполнении программы НИОКР за 3 последних года с указанием полученных эффектов (производственные, финансово-экономические показатели).</t>
  </si>
  <si>
    <t>11. Расчет расходов на страхование на расчетный период регулирования, включая:</t>
  </si>
  <si>
    <t>- договоры на страхование;</t>
  </si>
  <si>
    <t>- перечень застрахованного имущества;</t>
  </si>
  <si>
    <t>- страховые полисы;</t>
  </si>
  <si>
    <t>- программу страховой защиты;</t>
  </si>
  <si>
    <t>- отчет о страховых выплатах и использовании полученных средств за последние 3 года.</t>
  </si>
  <si>
    <t>12. Расчет платы за предельно допустимые выбросы загрязняющих веществ на расчетный период регулирования с указанием фактических объемов выбросов и действующих ставок, заверенный территориальным органом службы по экологическому, технологическому и атомному надзору.</t>
  </si>
  <si>
    <t>13. Расчет земельного налога на расчетный период регулирования с указанием кадастровой стоимости участков и налоговых ставок.</t>
  </si>
  <si>
    <t>14. Расчет транспортного налога, включая план приобретения транспортных средств, на расчетный период регулирования.</t>
  </si>
  <si>
    <t>15. Договоры на аренду имущества, оборудования, земельных участков, расчет арендных платежей на расчетный период регулирования.</t>
  </si>
  <si>
    <t>16. Расшифровка других расходов, включая перечень договоров и расчеты расходов по отдельным элементам на расчетный период регулирования:</t>
  </si>
  <si>
    <t>- расходы на связь;</t>
  </si>
  <si>
    <t>- расходы на вневедомственную охрану объектов;</t>
  </si>
  <si>
    <t>- расходы на услуги пожарной охраны;</t>
  </si>
  <si>
    <t>- расходы на услуги по водоснабжению и канализации;</t>
  </si>
  <si>
    <t>- расходы на подготовку, переподготовку и повышение квалификации кадров;</t>
  </si>
  <si>
    <t>- расходы на командировки;</t>
  </si>
  <si>
    <t>- представительские расходы;</t>
  </si>
  <si>
    <t>- расходы на обеспечение нормальных условий труда и техники безопасности;</t>
  </si>
  <si>
    <t>- расходы на юридические, консультационные, информационные, аудиторские услуги;</t>
  </si>
  <si>
    <t>- прочие расходы (с расшифровкой).</t>
  </si>
  <si>
    <t>17. Расчет размера понесенных экономически обоснованных расходов, не учтенных при установлении тарифов (цен), в том числе расходов, связанных с объективным и незапланированным ростом цен на продукцию, потребляемую в течение расчетного периода регулирования, с обоснованием экономической обоснованности фактически понесенных расходов, включая:</t>
  </si>
  <si>
    <t>- причины превышения фактических объемов потребляемых продуктов (услуг) над плановыми;</t>
  </si>
  <si>
    <t>- подтверждение роста цен (тарифов) на потребляемые продукты (услуги) относительно плановых;</t>
  </si>
  <si>
    <t>- источник финансирования фактических расходов, превышающих плановые; в случае привлечения кредитов - расчет дополнительных расходов, связанных с обслуживанием данных заемных средств.</t>
  </si>
  <si>
    <t>При заключении договоров на приобретение продукции, выполнение работ (оказание услуг) обязательно предоставляется отчет о проведении конкурсных процедур с расчетом эффективности их проведения.</t>
  </si>
  <si>
    <r>
      <t>1.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Справка о финансировании и освоении капитальных вложений (таблица 1.20.3) с  обоснованием потребности в средствах (по подразделениям и в целом по предприятию).</t>
    </r>
  </si>
  <si>
    <t>Плановая прибыль от регулируемой деятельности</t>
  </si>
  <si>
    <t>Формы КС-2, КС-3, Форма П-2.</t>
  </si>
  <si>
    <t>Инвестиционная программа, утвержденная ГУ РЭК и удовлетворяющая требованиям, предъявляемым ФСТ России (информационное письмо ФСТ России от 20.04.2006г. №ЕЯ-1897/12).</t>
  </si>
  <si>
    <r>
      <t>2.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 xml:space="preserve"> Расчет источников финансирования капитальных вложений (таблица 1.20)</t>
    </r>
  </si>
  <si>
    <r>
      <t>3.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(таблица 1.21.3)</t>
    </r>
  </si>
  <si>
    <r>
      <t>4.</t>
    </r>
    <r>
      <rPr>
        <sz val="7"/>
        <rFont val="Times New Roman"/>
        <family val="1"/>
        <charset val="204"/>
      </rPr>
      <t xml:space="preserve">                 </t>
    </r>
    <r>
      <rPr>
        <sz val="14"/>
        <rFont val="Times New Roman"/>
        <family val="1"/>
        <charset val="204"/>
      </rPr>
      <t>Расчет необходимой прибыли на социальное развитие на расчетный период регулирования, включая:</t>
    </r>
  </si>
  <si>
    <t>- программу социального развития;</t>
  </si>
  <si>
    <t>- расшифровку и расчет расходов на социальное развитие.</t>
  </si>
  <si>
    <t>5. Расчет прибыли на поощрение на расчетный период регулирования, в том числе расчет выплат социального характера со ссылкой на положения коллективного договора и отраслевых тарифных соглашений, с указанием количества работников, по факту получивших выплаты.</t>
  </si>
  <si>
    <t>6. Расчет дивидендов по акциям на расчетный период регулирования, включая фактические выплаты дивидендов за 3 предыдущих года.</t>
  </si>
  <si>
    <t>7. Расчет "прибыли на прочие цели" (с расшифровкой расходов, включая перечень договоров на расчетный период регулирования).</t>
  </si>
  <si>
    <t>8. Расчет плановых расходов на оплату процентов по кредитам банков на расчетный период регулирования, включая:</t>
  </si>
  <si>
    <t>- расчет расходов, необходимых для поддержания достаточного размера оборотного капитала (расчет кассовых разрывов, отчет о движении потоков наличности);</t>
  </si>
  <si>
    <t>- расчет расходов, необходимых для финансирования инвестиционной программы;</t>
  </si>
  <si>
    <t>- заключенные кредитные договоры.</t>
  </si>
  <si>
    <t>9. Расчет расходов на услуги банков на расчетный период регулирования, включая заключенные договора на оказание данных услуг.</t>
  </si>
  <si>
    <t>10. Расчет расходов по сомнительным долгам на расчетный период регулирования с обоснованием невозможности взыскания дебиторской задолженности, включая:</t>
  </si>
  <si>
    <t>- требования (в арбитражный суд или к конкурсному управляющему) о внесении задолженности в реестр кредиторов;</t>
  </si>
  <si>
    <t>- решения арбитражного суда (или уведомление конкурсного управляющего) о том, что требования предприятия внесены в реестр кредиторов;</t>
  </si>
  <si>
    <r>
      <t xml:space="preserve">- </t>
    </r>
    <r>
      <rPr>
        <sz val="14"/>
        <rFont val="Times New Roman"/>
        <family val="1"/>
        <charset val="204"/>
      </rPr>
      <t>подтверждение неудовлетворения требований предприятия (решения суда о завершении конкурсного производства).</t>
    </r>
  </si>
  <si>
    <t>11. Расчет налогов, производимых за счет прибыли, на расчетный период регулирования, в том числе расчет налога на прибыль с указанием сумм амортизации, учитываемых в целях бухгалтерского и налогового учета.</t>
  </si>
  <si>
    <t>12.Расчет налога на имущество на расчетный период регулирования, включая перечень льготируемого имущества.</t>
  </si>
  <si>
    <t>1. Расчет платы за услуги по содержанию электрических сетей (таблица 1.24)</t>
  </si>
  <si>
    <t>Расчет ставок тарифа на услуги по передаче электроэнергии</t>
  </si>
  <si>
    <t>2. Расчет ставки по оплате потерь электроэнергии (таблица 1.25).</t>
  </si>
  <si>
    <t>3. Расчет индивидуальных тарифов на услуги  по передаче электрической энергии по сетям (кроме котлодержателя).</t>
  </si>
  <si>
    <t>Расчет тарифов на услуги по передаче электрической энергии по сетям на долгосрочный период регулирования</t>
  </si>
  <si>
    <t>Примечание.</t>
  </si>
  <si>
    <t>Отчетные данные за девять месяцев предоставить до 5 ноября.</t>
  </si>
  <si>
    <t>В ходе государственного регулирования перечень материалов может быть дополнен.</t>
  </si>
  <si>
    <t xml:space="preserve">Наменование муниципального образования в котором осуществляется услуга </t>
  </si>
  <si>
    <t>3.Оглавление</t>
  </si>
  <si>
    <t>8. Обосновывающие материалы (подлинники или заверенные заявителем копии)</t>
  </si>
  <si>
    <t>№ п/п</t>
  </si>
  <si>
    <t>Наименование</t>
  </si>
  <si>
    <t>2.</t>
  </si>
  <si>
    <t>2.1</t>
  </si>
  <si>
    <t>2.2</t>
  </si>
  <si>
    <t>х</t>
  </si>
  <si>
    <t>1.</t>
  </si>
  <si>
    <t>3.</t>
  </si>
  <si>
    <t>п/п</t>
  </si>
  <si>
    <t>4.</t>
  </si>
  <si>
    <t>5.</t>
  </si>
  <si>
    <t>6.</t>
  </si>
  <si>
    <t>7.</t>
  </si>
  <si>
    <t>8.</t>
  </si>
  <si>
    <t>9.</t>
  </si>
  <si>
    <t>в том числе</t>
  </si>
  <si>
    <t>1.2</t>
  </si>
  <si>
    <t>Перечень материалов</t>
  </si>
  <si>
    <t>Кол-во</t>
  </si>
  <si>
    <t>Общая стоимость ремонтных работ</t>
  </si>
  <si>
    <t>Ед. изм.</t>
  </si>
  <si>
    <t>ВСЕГО</t>
  </si>
  <si>
    <t>Цена за единицу, руб.(без НДС)</t>
  </si>
  <si>
    <t>Стоимость тыс.руб.(без НДС)</t>
  </si>
  <si>
    <t>№</t>
  </si>
  <si>
    <t>Показатели</t>
  </si>
  <si>
    <t>Ед.изм.</t>
  </si>
  <si>
    <t>чел.</t>
  </si>
  <si>
    <t>2.1.</t>
  </si>
  <si>
    <t>Тарифная ставка рабочего 1 разряда</t>
  </si>
  <si>
    <t>руб.</t>
  </si>
  <si>
    <t>2.2.</t>
  </si>
  <si>
    <t>Дефлятор по заработной плате</t>
  </si>
  <si>
    <t>Тарифная ставка рабочего 1 разряда с учетом дефлятора</t>
  </si>
  <si>
    <t>Средняя ступень оплаты</t>
  </si>
  <si>
    <t>Тарифный коэффициент соответствующий ступени по оплате труда</t>
  </si>
  <si>
    <t xml:space="preserve"> - " -</t>
  </si>
  <si>
    <t>Выплаты, связанные с режимом работы с условиями труда 1 работника</t>
  </si>
  <si>
    <t>процент выплаты</t>
  </si>
  <si>
    <t>%</t>
  </si>
  <si>
    <t>сумма выплат</t>
  </si>
  <si>
    <t>Текущее премирование</t>
  </si>
  <si>
    <t>Вознаграждение за выслугу лет</t>
  </si>
  <si>
    <t>Выплаты по итогам года</t>
  </si>
  <si>
    <t>тыс.руб.</t>
  </si>
  <si>
    <t>Ввод основных производственных фондов</t>
  </si>
  <si>
    <t>Выбытие основных производственных фондов</t>
  </si>
  <si>
    <t>Средняя норма амортизации</t>
  </si>
  <si>
    <t>Сумма амортизационных отчислений</t>
  </si>
  <si>
    <t>3.Ремонт кабельных линий 6-10кВ</t>
  </si>
  <si>
    <t>4.Ремонт кабельных линий 0,4кВ</t>
  </si>
  <si>
    <t>тыс. руб.</t>
  </si>
  <si>
    <t/>
  </si>
  <si>
    <t>п.п.</t>
  </si>
  <si>
    <t>1.1</t>
  </si>
  <si>
    <t>5.Ремонт трансформаторных подстанций</t>
  </si>
  <si>
    <t>6.Прочие виды ремонтных работ</t>
  </si>
  <si>
    <t>3.1</t>
  </si>
  <si>
    <t>3.2</t>
  </si>
  <si>
    <t>4.1</t>
  </si>
  <si>
    <t>4.2</t>
  </si>
  <si>
    <t>5.1</t>
  </si>
  <si>
    <t>5.2</t>
  </si>
  <si>
    <t>6.1</t>
  </si>
  <si>
    <t>6.2</t>
  </si>
  <si>
    <t>* Затраты на реконструкцию, модернизацию, техническое перевооружение отражаются в программе производственного развития</t>
  </si>
  <si>
    <t>8.1</t>
  </si>
  <si>
    <t>8.2</t>
  </si>
  <si>
    <t>9.1</t>
  </si>
  <si>
    <t>9.2</t>
  </si>
  <si>
    <t>10</t>
  </si>
  <si>
    <t>10.1</t>
  </si>
  <si>
    <t>10.2</t>
  </si>
  <si>
    <t>11</t>
  </si>
  <si>
    <t>11.1</t>
  </si>
  <si>
    <t>11.2</t>
  </si>
  <si>
    <t>12.</t>
  </si>
  <si>
    <t>13.</t>
  </si>
  <si>
    <t>Итого среднемесячная оплата труда на 1 работника(п.7+п.8+п.9+п.10+п.11)</t>
  </si>
  <si>
    <t>14.</t>
  </si>
  <si>
    <t>1. Ремонт воздушных линий ВЛ-6-10кВ</t>
  </si>
  <si>
    <t>2.Ремонт воздушных линий ВЛ-0,4кВ</t>
  </si>
  <si>
    <t>Балансовая стоимость основных производственных фондов на начало периода регулирования</t>
  </si>
  <si>
    <t>Материал опор</t>
  </si>
  <si>
    <t>ВЛЭП</t>
  </si>
  <si>
    <t>дерево</t>
  </si>
  <si>
    <t>дерево на ж/б пасынках</t>
  </si>
  <si>
    <t>ж/бетон, металл</t>
  </si>
  <si>
    <t>КЛЭП</t>
  </si>
  <si>
    <t>Единица измерения</t>
  </si>
  <si>
    <t>Количество единиц измерения</t>
  </si>
  <si>
    <t>п/ст</t>
  </si>
  <si>
    <t>Мачтовая (столбовая) ТП</t>
  </si>
  <si>
    <t>ТП</t>
  </si>
  <si>
    <t>ТП, КТП</t>
  </si>
  <si>
    <t>Двухтрансформаторная ТП, КТП</t>
  </si>
  <si>
    <t>Масляный выключатель</t>
  </si>
  <si>
    <t>3 фазы</t>
  </si>
  <si>
    <t>Выключатель нагрузки</t>
  </si>
  <si>
    <t>Система условных единиц для распределения общей суммы тарифной выручки по классам напряжения.</t>
  </si>
  <si>
    <t xml:space="preserve">Объем воздушных линий электропередач (ВЛЭП) и кабельных линий электропередач (КЛЭП) в условных единицах в зависимост от протяженности, напряжения, конструктивного использования и материала опор.  </t>
  </si>
  <si>
    <t xml:space="preserve">Напряжение, кВ </t>
  </si>
  <si>
    <t>Количество цепей на опоре</t>
  </si>
  <si>
    <t>Количество условных единиц (у) на 100 км трассы ЛЭП</t>
  </si>
  <si>
    <t>Объем условных единиц</t>
  </si>
  <si>
    <t>км</t>
  </si>
  <si>
    <t>у</t>
  </si>
  <si>
    <t>7 = 5 * 6 /100</t>
  </si>
  <si>
    <t>-</t>
  </si>
  <si>
    <t>металл</t>
  </si>
  <si>
    <t>400-500</t>
  </si>
  <si>
    <t>ж/бетон</t>
  </si>
  <si>
    <t>110-150</t>
  </si>
  <si>
    <t xml:space="preserve">ВН, всего </t>
  </si>
  <si>
    <t xml:space="preserve"> 1 - 20 </t>
  </si>
  <si>
    <t xml:space="preserve"> 20 -35</t>
  </si>
  <si>
    <t xml:space="preserve"> 3 - 10</t>
  </si>
  <si>
    <t>СН, всего</t>
  </si>
  <si>
    <t xml:space="preserve">0,4 кВ </t>
  </si>
  <si>
    <t xml:space="preserve">до 1 кВ </t>
  </si>
  <si>
    <t>НН, всего</t>
  </si>
  <si>
    <t xml:space="preserve">Объем подстанций 35-1150 кВ, трансформаторных подстанций (ТП), комплексных трансформаторных подстанций (КТП) и распределительных пунктов(РП) 0,4-20 кВ в условных единицах. </t>
  </si>
  <si>
    <t>Количество условных единиц (у) на единицу измерения</t>
  </si>
  <si>
    <t>у/ед.изм.</t>
  </si>
  <si>
    <t>ед.изм.</t>
  </si>
  <si>
    <t>Подстанция</t>
  </si>
  <si>
    <t>П/ст</t>
  </si>
  <si>
    <t xml:space="preserve"> 110 - 150</t>
  </si>
  <si>
    <t>Силовой трансформатор или реактор (одно- или трехфазный), или вольтодобавочный трансформатор</t>
  </si>
  <si>
    <t>Единица оборудования</t>
  </si>
  <si>
    <t xml:space="preserve"> 1 - 20</t>
  </si>
  <si>
    <t>Воздушный выключатель</t>
  </si>
  <si>
    <t>Отделитель с короткозамыкателем</t>
  </si>
  <si>
    <t>Синхронный компенсатор мощн. 50 Мвар</t>
  </si>
  <si>
    <t>То же, 50 Мвар и более</t>
  </si>
  <si>
    <t>Статические конденсаторы</t>
  </si>
  <si>
    <t>100 конд.</t>
  </si>
  <si>
    <t>Однотрансфор-маторная ТП, КТП</t>
  </si>
  <si>
    <t xml:space="preserve">Однотрансфор-маторная подстанция 34/0,4 кВ </t>
  </si>
  <si>
    <t>Итого</t>
  </si>
  <si>
    <t>ВН</t>
  </si>
  <si>
    <t>Объем РП 1-20 кВ в условных единицах определяется по количеству установленных масляных выключателей (п.4) и выключателей нагрузки (п.6). При установке в РП трансформаторов 1-20/0,4 кВ дополнительные объемы обслуживания определяются по п.11 или  12.</t>
  </si>
  <si>
    <t>Таблица № 2.1</t>
  </si>
  <si>
    <t xml:space="preserve">         в т.ч. СН1 (35 кВ)</t>
  </si>
  <si>
    <t xml:space="preserve">                  СН2 (1-20 кВ)</t>
  </si>
  <si>
    <t>Примечание: при расчете условных единиц протяженность ВЛЭП-0,4 кВ от линии до ввода в здание и кабельные вводы не учитываются.</t>
  </si>
  <si>
    <t>Протяженность по трассе</t>
  </si>
  <si>
    <t>у.е./100км</t>
  </si>
  <si>
    <t>у.е.</t>
  </si>
  <si>
    <t>Таблица № 2.2</t>
  </si>
  <si>
    <t>СН1</t>
  </si>
  <si>
    <t>СН2</t>
  </si>
  <si>
    <t>Условные единицы электрооборудования понизительных подстанций относятся на уровень высшего (первичного) напряжения подстанций</t>
  </si>
  <si>
    <t>Примечания:</t>
  </si>
  <si>
    <r>
      <t xml:space="preserve">Условные единицы по п 2 "Силовые трансформаторы 1-20 кВ" определяются </t>
    </r>
    <r>
      <rPr>
        <u/>
        <sz val="10"/>
        <rFont val="Times New Roman CYR"/>
        <charset val="204"/>
      </rPr>
      <t>только для трансформаторов, используемых для собственных нужд подстанций 35-1150 кВ.</t>
    </r>
    <r>
      <rPr>
        <sz val="10"/>
        <rFont val="Times New Roman Cyr"/>
        <charset val="204"/>
      </rPr>
      <t xml:space="preserve">  </t>
    </r>
  </si>
  <si>
    <t xml:space="preserve">Значение условных единиц пп.4 и 6  "Масляные выключатели  1-20 кВ" и "Выключатели нагрузки 1-20 кВ" относятся к коммутационным аппаратам, установленным в распределительных устройствах  1-20 кВ подстанций 35-1150 кВ , ТП, КТП и РП 1-20 кВ , а так же к секционирующим коммутационным аппаратам на линиях 1-20 кВ   </t>
  </si>
  <si>
    <t>Всего</t>
  </si>
  <si>
    <t>НН</t>
  </si>
  <si>
    <t xml:space="preserve">Поступление эл.энергии в сеть , ВСЕГО </t>
  </si>
  <si>
    <t>1.1.</t>
  </si>
  <si>
    <t>1.2.</t>
  </si>
  <si>
    <t>1.3.</t>
  </si>
  <si>
    <t xml:space="preserve">Потери электроэнергии в сети </t>
  </si>
  <si>
    <t xml:space="preserve">Полезный отпуск из сети </t>
  </si>
  <si>
    <t>4.1.</t>
  </si>
  <si>
    <t>4.2.</t>
  </si>
  <si>
    <t>Таблица № 1.4.</t>
  </si>
  <si>
    <t>из собственной смежной сети, всего,                            в т.ч. из сети</t>
  </si>
  <si>
    <t>от электростанций</t>
  </si>
  <si>
    <t>то же в % (п.2/п.1)</t>
  </si>
  <si>
    <t>3.1.</t>
  </si>
  <si>
    <t>3.2.</t>
  </si>
  <si>
    <t>3.3.</t>
  </si>
  <si>
    <t>тыс.кВтч.</t>
  </si>
  <si>
    <t>материалы всего, в т.ч.:</t>
  </si>
  <si>
    <t>Ремонтные работы, выполняемые подрядными организациями</t>
  </si>
  <si>
    <t>Ремонтные работы, выполняемые хоз.способом</t>
  </si>
  <si>
    <t>стоимость материалов</t>
  </si>
  <si>
    <t>стоимость работ, выполняемых подрядными организациями</t>
  </si>
  <si>
    <t>Таблица 1.16.</t>
  </si>
  <si>
    <t>Таблица 1.17.</t>
  </si>
  <si>
    <t>стоимость на начало регулируемого периода</t>
  </si>
  <si>
    <t>Ввод основных производствен ных фондов</t>
  </si>
  <si>
    <t xml:space="preserve">стоимость на конец регулируемого периода </t>
  </si>
  <si>
    <t xml:space="preserve">среднегодовая стоимость </t>
  </si>
  <si>
    <t>Амортизация</t>
  </si>
  <si>
    <t>Всего (стр. 1+стр.2)</t>
  </si>
  <si>
    <t>Таблица  1.17.1</t>
  </si>
  <si>
    <t>x</t>
  </si>
  <si>
    <t>Примечание: оборудование подстанций относится на первичный уровень напряжения.</t>
  </si>
  <si>
    <t>Среднегодовая стоимость основных производственных фондов</t>
  </si>
  <si>
    <t>Линии электропередач</t>
  </si>
  <si>
    <t>Подстанции</t>
  </si>
  <si>
    <t>3.4.</t>
  </si>
  <si>
    <t>расход электроэнергии на собственные производственные и хозяйственные нужды</t>
  </si>
  <si>
    <t>3.1.1.</t>
  </si>
  <si>
    <t>3.1.2.</t>
  </si>
  <si>
    <t>3.1.3.</t>
  </si>
  <si>
    <t>3.2.1.</t>
  </si>
  <si>
    <t>3.2.2.</t>
  </si>
  <si>
    <t>3.2.3.</t>
  </si>
  <si>
    <t>3.4.1.</t>
  </si>
  <si>
    <t>3.4.2.</t>
  </si>
  <si>
    <t>3.4.3.</t>
  </si>
  <si>
    <t>1.3.1.</t>
  </si>
  <si>
    <t>1.3.2.</t>
  </si>
  <si>
    <t>1.3.3.</t>
  </si>
  <si>
    <t>в т.ч. потребителям сбытовых компаний розничного рынка (указать по сбытовым компаниям):</t>
  </si>
  <si>
    <t>потребителям оптового рынка (указать):</t>
  </si>
  <si>
    <t>сальдо переток в другие сетевые организации (транзит, указать организации):</t>
  </si>
  <si>
    <t>Налог на имущество</t>
  </si>
  <si>
    <t>тыс.кВт.ч.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</si>
  <si>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</si>
  <si>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</si>
  <si>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</si>
  <si>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</si>
  <si>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Наименование сетевой организации</t>
  </si>
  <si>
    <t>Базовый уровень подконтрольных расходов</t>
  </si>
  <si>
    <t>Коэффициент эластичности подконтрольных расходов по количеству активов</t>
  </si>
  <si>
    <t>млн. руб.</t>
  </si>
  <si>
    <t>Данные об организации</t>
  </si>
  <si>
    <t>Наименование организации в соответствии с уставом:</t>
  </si>
  <si>
    <t xml:space="preserve">полное наименование организации </t>
  </si>
  <si>
    <t xml:space="preserve">сокращенное название организации </t>
  </si>
  <si>
    <t>Муниципальное образование</t>
  </si>
  <si>
    <t>Адрес организации:</t>
  </si>
  <si>
    <t>юридический адрес</t>
  </si>
  <si>
    <t>фактический адрес (месторасположение)</t>
  </si>
  <si>
    <t>ИНН</t>
  </si>
  <si>
    <t>КПП</t>
  </si>
  <si>
    <t>ФИО руководителя организации</t>
  </si>
  <si>
    <t>контактный телефон/факс</t>
  </si>
  <si>
    <t>е-mail</t>
  </si>
  <si>
    <t>ФИО начальника ПЭО</t>
  </si>
  <si>
    <t>ФИО ответственного за электрохозяйство</t>
  </si>
  <si>
    <t>ФИО главного бухгалтера</t>
  </si>
  <si>
    <t>ФИО непосредственного исполнителя</t>
  </si>
  <si>
    <t>Банковские реквизиты:</t>
  </si>
  <si>
    <t>расчетный счет</t>
  </si>
  <si>
    <t>банк</t>
  </si>
  <si>
    <t>корреспондентский счет</t>
  </si>
  <si>
    <t>БИК</t>
  </si>
  <si>
    <t>2. Реквизиты  сетевой организации</t>
  </si>
  <si>
    <t>Содержание зданий (Теплоэнергия, газ)</t>
  </si>
  <si>
    <t>СН</t>
  </si>
  <si>
    <t>от сетевых организаций (указать):</t>
  </si>
  <si>
    <t xml:space="preserve">от филиала "Рязаньэнерго" ОАО "МРСК Центра и Приволжья" </t>
  </si>
  <si>
    <t>ОАО "ФСК ЕЭС"</t>
  </si>
  <si>
    <t>от других сетевых организаций</t>
  </si>
  <si>
    <t>ООО РГМЭК</t>
  </si>
  <si>
    <t>Наименование других сетевых организаций</t>
  </si>
  <si>
    <t xml:space="preserve">Расшифровка п. 1.3.3.(Поступление от других сетевых организаций) </t>
  </si>
  <si>
    <t xml:space="preserve">Расшифровка п.3. 4. (Полезный отпуск - переток в другие сетевые организации) </t>
  </si>
  <si>
    <t>Наименование сбытовых организаций</t>
  </si>
  <si>
    <t>прочие потребители</t>
  </si>
  <si>
    <t>население</t>
  </si>
  <si>
    <t>ОАО "Оборонэнергосбыт"</t>
  </si>
  <si>
    <t>Итого всего, в том числе:</t>
  </si>
  <si>
    <t>ОАО "РЭСК" всего, в том числе:</t>
  </si>
  <si>
    <t>ООО "РГМЭК" всего, в том числе: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</si>
  <si>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</si>
  <si>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</si>
  <si>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</si>
  <si>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</si>
  <si>
    <t xml:space="preserve"> Ставка за содержание сетей, руб./МВА. в мес.</t>
  </si>
  <si>
    <t>1 ПОЛУГОДИЕ</t>
  </si>
  <si>
    <t>2 ПОЛУГОДИЕ</t>
  </si>
  <si>
    <t>1  ПОЛУГОДИЕ</t>
  </si>
  <si>
    <t>2  ПОЛУГОДИЕ</t>
  </si>
  <si>
    <t>Расходы на содержание зданий и помещений (по регулируемым тарифам)</t>
  </si>
  <si>
    <t>Факт</t>
  </si>
  <si>
    <t>Утверждено</t>
  </si>
  <si>
    <t>По данным организации</t>
  </si>
  <si>
    <t>По данным экспертов</t>
  </si>
  <si>
    <t>Расходы на содержание зданий и помещений</t>
  </si>
  <si>
    <t>Электрическая энергия</t>
  </si>
  <si>
    <t>договор  с _____ от_____№  __ на_________</t>
  </si>
  <si>
    <t>Тепловая энергия</t>
  </si>
  <si>
    <t>Водоснабжение и канализация</t>
  </si>
  <si>
    <t>Прочие услуги , связанные с содержанием помещений по регулируемым тарифам</t>
  </si>
  <si>
    <t xml:space="preserve">Плата за землю </t>
  </si>
  <si>
    <t>Земельный налог, всего</t>
  </si>
  <si>
    <t>Арендная плата за землю</t>
  </si>
  <si>
    <t>Всего плата за землю:</t>
  </si>
  <si>
    <t xml:space="preserve">Расчет транспортного налога </t>
  </si>
  <si>
    <t>Объект налогообложения (вид и марка транспортного средства)</t>
  </si>
  <si>
    <t>Налоговая база, (л.с.)</t>
  </si>
  <si>
    <t>Налоговая ставка, руб.</t>
  </si>
  <si>
    <t>Коэф. использ.</t>
  </si>
  <si>
    <t>Годовая сумма налога, тыс. руб.</t>
  </si>
  <si>
    <t>Годовая сумма налога,                 тыс. руб.</t>
  </si>
  <si>
    <t>По расчету экспертов</t>
  </si>
  <si>
    <t>Тыс. руб.</t>
  </si>
  <si>
    <t>Среднегодовая остаточная стоимость основных средств, всего, в том числе:</t>
  </si>
  <si>
    <t>-облагаемых по ставке 2,2 %</t>
  </si>
  <si>
    <t xml:space="preserve">-облагаемых по льготной ставке </t>
  </si>
  <si>
    <t xml:space="preserve">Льготная ставка налога </t>
  </si>
  <si>
    <t>Налог на имущество, в том числе по уровням напряжения:</t>
  </si>
  <si>
    <t>СН11</t>
  </si>
  <si>
    <t>общий для всех уровней напряжения</t>
  </si>
  <si>
    <t>Расчет платы за негативное воздействие на окружающую среду</t>
  </si>
  <si>
    <t>Выбросы в атмосферу от стационарных источников</t>
  </si>
  <si>
    <t>Выбросы в атмосферу от передвижных источников</t>
  </si>
  <si>
    <t>Сбросы в водные объекты</t>
  </si>
  <si>
    <t>Плата за размещение отходов</t>
  </si>
  <si>
    <t>ИТОГО плата за негативное воздействие на окружающую среду</t>
  </si>
  <si>
    <t>Тыс.руб.</t>
  </si>
  <si>
    <t>утверждено</t>
  </si>
  <si>
    <t>Расходы на содержание сетей, тыс. руб.</t>
  </si>
  <si>
    <t>Заявленная мощность в точках присоединения к сетям ОАО "ФСК ЕЭС", МВт</t>
  </si>
  <si>
    <t>Ставка тарифа услуги по передаче электрической энергии на содержание объектов электросетевого хозяйства, входящих в ЕНЭС, руб. МВт/мес.</t>
  </si>
  <si>
    <t>Расходы на компенсацию потерь, тыс. руб.</t>
  </si>
  <si>
    <t>Объем технологических потерь электрической энергии при ее передаче по ЕНЭС, млн. кВт.ч</t>
  </si>
  <si>
    <t>Объем отпуска электроэнергии из сети ОАО "ФСК ЕЭС" в сеть организации, млн. кВт.ч</t>
  </si>
  <si>
    <t>Норматив технологических потерь электрической энергии при ее передаче по ЕНЭС, применяемый к отпуску электроэнергии из сети ОАО "ФСК ЕЭС" класса 220 кВ и ниже, %</t>
  </si>
  <si>
    <t>Ставка тарифа на оплату нормативных технологических потерь электрической энергии в ЕНЭС, руб./МВт.ч</t>
  </si>
  <si>
    <t>ИТОГО оплата услуг ОАО "ФСК ЕЭС"</t>
  </si>
  <si>
    <t>Прочие обоснованные неподконтрольные расходы</t>
  </si>
  <si>
    <t>ИТОГО прочие обоснованные неподконтрольные расходы:</t>
  </si>
  <si>
    <t>Наименование показателей</t>
  </si>
  <si>
    <t>Величина корректировки НР</t>
  </si>
  <si>
    <t>Расходы, связанные с компенсацией выпадающих доходов от льготного технологического присоединения</t>
  </si>
  <si>
    <t xml:space="preserve">Итого </t>
  </si>
  <si>
    <t>Обозначение в Мет. указаниях</t>
  </si>
  <si>
    <t>Расчетная величина собственных средств организации для финансирования инвестиционной программы , всего, в том числе:</t>
  </si>
  <si>
    <t>-амортизация</t>
  </si>
  <si>
    <t>- капитальные вложения из прибыли</t>
  </si>
  <si>
    <t>Утвержденная инвестиционная программа (в случае, если договорная схема организации предполагает взаиморасчет по одноставочному тарифу, величина   принимается равной расчетному значению)</t>
  </si>
  <si>
    <t xml:space="preserve">Объем фактического исполнения инвестиционной программы </t>
  </si>
  <si>
    <t>Учтенная при расчете тарифов на (i-1) год корректировка необходимой валовой выручки на (i-2)-ой год долгосрочного периода регулирования, осуществленная в связи с изменением (неисполнением) инвестиционной программы за истекший период на (i-2)-го года по результатам 9 месяцев</t>
  </si>
  <si>
    <t>Показатели уровня надежности и уровня качества оказываемых услуг</t>
  </si>
  <si>
    <t>Обозначение в Методических  указаниях</t>
  </si>
  <si>
    <t>% отклонения</t>
  </si>
  <si>
    <t>Показатель средней продолжительности прекращений передачи электрической энергии</t>
  </si>
  <si>
    <t xml:space="preserve">Показатель уровня качества обслуживания потребителей услуг </t>
  </si>
  <si>
    <t>в т.ч. полезный отпуск сторонним потребителям год</t>
  </si>
  <si>
    <t>2 полугодие</t>
  </si>
  <si>
    <t>Цена (тариф) покупки потерь э/э в сетях  руб/тыс. кВт.ч</t>
  </si>
  <si>
    <r>
      <t>Величина технологического расхода (потерь) электрической энергии</t>
    </r>
    <r>
      <rPr>
        <b/>
        <sz val="10"/>
        <rFont val="Times New Roman"/>
        <family val="1"/>
        <charset val="204"/>
      </rPr>
      <t xml:space="preserve"> (на сторонних)</t>
    </r>
    <r>
      <rPr>
        <sz val="10"/>
        <rFont val="Times New Roman"/>
        <family val="1"/>
        <charset val="204"/>
      </rPr>
      <t xml:space="preserve">, </t>
    </r>
    <r>
      <rPr>
        <b/>
        <sz val="10"/>
        <rFont val="Times New Roman"/>
        <family val="1"/>
        <charset val="204"/>
      </rPr>
      <t>%</t>
    </r>
  </si>
  <si>
    <t>рост одноставочного тарифа,%</t>
  </si>
  <si>
    <t>Источники финансирования утвержденной ИПР, тыс.руб.</t>
  </si>
  <si>
    <t xml:space="preserve">1 полугодие </t>
  </si>
  <si>
    <t>год</t>
  </si>
  <si>
    <t xml:space="preserve">Баланс электрической мощности по ВН, СН1, СН2 и НН  </t>
  </si>
  <si>
    <t xml:space="preserve">Баланс электрической энергии по сетям ВН, СН1, СН2 и НН  </t>
  </si>
  <si>
    <t>ПРОЧИЕ</t>
  </si>
  <si>
    <t>млн.кВтч</t>
  </si>
  <si>
    <t>пополам или на уровне 2 полугодия предыд года</t>
  </si>
  <si>
    <t>разница</t>
  </si>
  <si>
    <t xml:space="preserve">Расшифровка п. 3.1 (Полезный отпуск потребителям,  присоединенным к сети) </t>
  </si>
  <si>
    <t>ДОЛЯ содержания НА СТОРОННИХ</t>
  </si>
  <si>
    <t>Величина заявленной мощности  сторонних потребителей  тыс.кВА</t>
  </si>
  <si>
    <t xml:space="preserve">Плата за аренду имущества и лизинг </t>
  </si>
  <si>
    <t>Лизинг</t>
  </si>
  <si>
    <t>Обзнач. в Методических указаниях</t>
  </si>
  <si>
    <t>Оценка достижения показателя уровня надежности   оказываемых услуг</t>
  </si>
  <si>
    <t>Оценка достижения показателя уровня качества оказываемых услуг</t>
  </si>
  <si>
    <t xml:space="preserve">Обобщенный показатель уровня надежности и качества оказываемых услуг </t>
  </si>
  <si>
    <t xml:space="preserve">                           </t>
  </si>
  <si>
    <t>Максимальный процент корректировки, %</t>
  </si>
  <si>
    <t>Коэффициент, корректирующий НВВ с учетом надежности и качества оказываемых услуг</t>
  </si>
  <si>
    <t>Утвержденная НВВ на содержание электрических сетей (тыс. руб.)</t>
  </si>
  <si>
    <t>Величина корректировки НВВ с учетом надежности и качества оказываемых услуг</t>
  </si>
  <si>
    <t>Месяц  (Период)</t>
  </si>
  <si>
    <t>Объем отпуска электрической энергии в сеть для передачи сторонним потребителям</t>
  </si>
  <si>
    <t>Цена покупки потерь электрической энергии</t>
  </si>
  <si>
    <t>Величина корректировки</t>
  </si>
  <si>
    <t>План</t>
  </si>
  <si>
    <t>Учтенная при установлении тарифа</t>
  </si>
  <si>
    <t>Фактическая цена</t>
  </si>
  <si>
    <t>руб/тыс.кВт.ч</t>
  </si>
  <si>
    <t>2008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</si>
  <si>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</si>
  <si>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</si>
  <si>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</si>
  <si>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</si>
  <si>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</si>
  <si>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</si>
  <si>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</si>
  <si>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</si>
  <si>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</si>
  <si>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</si>
  <si>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</si>
  <si>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</si>
  <si>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ВСЕГО:</t>
  </si>
  <si>
    <t>1</t>
  </si>
  <si>
    <t>2</t>
  </si>
  <si>
    <t>4</t>
  </si>
  <si>
    <t>5</t>
  </si>
  <si>
    <t>9</t>
  </si>
  <si>
    <t>Утвержденный норматив потерь</t>
  </si>
  <si>
    <t>№ пп</t>
  </si>
  <si>
    <t>Инв. №</t>
  </si>
  <si>
    <t>Собственник имущества - арендодатель</t>
  </si>
  <si>
    <t>Дата ввода в эксплуатацию</t>
  </si>
  <si>
    <t>Описание и местонахождения имущества</t>
  </si>
  <si>
    <t>ИТОГО</t>
  </si>
  <si>
    <t xml:space="preserve">Реквизиты договора </t>
  </si>
  <si>
    <t xml:space="preserve">Срок договора </t>
  </si>
  <si>
    <t xml:space="preserve"> объект </t>
  </si>
  <si>
    <t>Анализ основных технико-экономических показателей за 2 предшествующих года, текущий год и расчетный период регулирования</t>
  </si>
  <si>
    <t>Изменение к предыдующему году</t>
  </si>
  <si>
    <t>Рост к предыдующему году, %</t>
  </si>
  <si>
    <t xml:space="preserve">                      Наименование</t>
  </si>
  <si>
    <t>Электроэнергия</t>
  </si>
  <si>
    <t>Поступление в сеть</t>
  </si>
  <si>
    <t>Потери в электрической сети, в т.ч. относимые на:</t>
  </si>
  <si>
    <t>собственное потребление</t>
  </si>
  <si>
    <t>передачу сторонним потребителям (субабонентам)</t>
  </si>
  <si>
    <t>Относительные потери</t>
  </si>
  <si>
    <t>Отпуск из сети (полезный отпуск ), в т.ч. для</t>
  </si>
  <si>
    <t>собственного потребления</t>
  </si>
  <si>
    <t>передачи сторонним потребителям (субабонентам)</t>
  </si>
  <si>
    <t>4.2.1.</t>
  </si>
  <si>
    <t>Доля передачи сторонним потребителям</t>
  </si>
  <si>
    <t>НВВ</t>
  </si>
  <si>
    <t>НВВ (на сторонних потребителей)</t>
  </si>
  <si>
    <t>содержание сетей (всего)</t>
  </si>
  <si>
    <t>затраты на компенсацию потерь (на сторонних)</t>
  </si>
  <si>
    <t>1.2.1.</t>
  </si>
  <si>
    <t>цена покупки потерь (для сторонних)</t>
  </si>
  <si>
    <t>руб./тыс.кВтч</t>
  </si>
  <si>
    <t>Сетевая организация                                                                                             ___________________________________</t>
  </si>
  <si>
    <t>Расходы, связанные с компенсацией выпадающих доходов от льготного ТП на период регулирования</t>
  </si>
  <si>
    <t>СПРАВОЧНО:</t>
  </si>
  <si>
    <t>Расшифровка других прочих расходов 1.3.7</t>
  </si>
  <si>
    <t>Расшифровка подконтрольных расходов из прибыли 1.4</t>
  </si>
  <si>
    <t xml:space="preserve">Численность </t>
  </si>
  <si>
    <t>Расчет средств на оплату труда</t>
  </si>
  <si>
    <t xml:space="preserve">Среднемесячная тарифная ставка </t>
  </si>
  <si>
    <t>Всего годовой фонд на оплату труда (п.12*п.1*12/1000)</t>
  </si>
  <si>
    <t>Показатель</t>
  </si>
  <si>
    <t>Разряд</t>
  </si>
  <si>
    <t>5/100</t>
  </si>
  <si>
    <t>4,5/100</t>
  </si>
  <si>
    <t>4/100</t>
  </si>
  <si>
    <t>3,5/100</t>
  </si>
  <si>
    <t>3/100</t>
  </si>
  <si>
    <t>3.Трансформаторные подстанции:</t>
  </si>
  <si>
    <t>шт</t>
  </si>
  <si>
    <t>2,5/100</t>
  </si>
  <si>
    <t>2,7/100</t>
  </si>
  <si>
    <t>4. Масляные выключатели</t>
  </si>
  <si>
    <t>9,5/1000</t>
  </si>
  <si>
    <t>5.Выключатели нагрузки</t>
  </si>
  <si>
    <t>4/1000</t>
  </si>
  <si>
    <t>6.Абоненты бытового сектора</t>
  </si>
  <si>
    <t>3,5/10000</t>
  </si>
  <si>
    <t>7.Прочие абоненты</t>
  </si>
  <si>
    <t>2,6/1000</t>
  </si>
  <si>
    <t>8 Концевые заделки</t>
  </si>
  <si>
    <t>2/10000</t>
  </si>
  <si>
    <t>шт.</t>
  </si>
  <si>
    <t>Дежурные</t>
  </si>
  <si>
    <t>Итого ППП</t>
  </si>
  <si>
    <t>Директор</t>
  </si>
  <si>
    <t>Главный бухгалтер</t>
  </si>
  <si>
    <t>Бухгалтер</t>
  </si>
  <si>
    <t>2/100</t>
  </si>
  <si>
    <t>Делопроизводство</t>
  </si>
  <si>
    <t>0,5/100</t>
  </si>
  <si>
    <t>Охрана труда и ТБ</t>
  </si>
  <si>
    <t>Правовое обслуж</t>
  </si>
  <si>
    <t>Эконом и план</t>
  </si>
  <si>
    <t>Организация сбыта э/э</t>
  </si>
  <si>
    <t>Програмное обеспеч</t>
  </si>
  <si>
    <t>0,5/8</t>
  </si>
  <si>
    <t>Оперативно диспетчерское упр</t>
  </si>
  <si>
    <t>1/3200</t>
  </si>
  <si>
    <t>Организация ремонта релейной защиты</t>
  </si>
  <si>
    <t>1/200</t>
  </si>
  <si>
    <t>Организация ремонта трансформаторов</t>
  </si>
  <si>
    <t>0,5/250</t>
  </si>
  <si>
    <t>Организация ремонта района</t>
  </si>
  <si>
    <t>1/30</t>
  </si>
  <si>
    <t>Организация ремонта эл.счетчиков</t>
  </si>
  <si>
    <t>Расчет нормативной численности   и среднего разряда работающего персонала  по предприятию</t>
  </si>
  <si>
    <t>ППП</t>
  </si>
  <si>
    <t>2.2.1</t>
  </si>
  <si>
    <t>2.2.2</t>
  </si>
  <si>
    <t>2.2.3</t>
  </si>
  <si>
    <t>2.2.4</t>
  </si>
  <si>
    <t>2.2.10</t>
  </si>
  <si>
    <t>2.2.7</t>
  </si>
  <si>
    <t>2.2.11</t>
  </si>
  <si>
    <t>2.1.1</t>
  </si>
  <si>
    <t>2.1.2</t>
  </si>
  <si>
    <t>2.1.3</t>
  </si>
  <si>
    <t>2.1.4</t>
  </si>
  <si>
    <t>2.1.5</t>
  </si>
  <si>
    <t>2.1.6</t>
  </si>
  <si>
    <t>2.1.7</t>
  </si>
  <si>
    <t>2.1.9</t>
  </si>
  <si>
    <t>Всего работников</t>
  </si>
  <si>
    <t>1/100</t>
  </si>
  <si>
    <t xml:space="preserve">      дерево на ж\б пасынках</t>
  </si>
  <si>
    <t xml:space="preserve">     0,4 кВ дерево на ж\б пасынках</t>
  </si>
  <si>
    <t xml:space="preserve">     0,4 кВ ж\б,металл</t>
  </si>
  <si>
    <t xml:space="preserve">     0,4кВ  дерево</t>
  </si>
  <si>
    <t xml:space="preserve">2. Кабельные линии: </t>
  </si>
  <si>
    <t>1.Воздушные линии:</t>
  </si>
  <si>
    <t xml:space="preserve">      1-20 кВ на ж\б опорах</t>
  </si>
  <si>
    <t>Нормативная численность, чел.</t>
  </si>
  <si>
    <t>Норма обслуж., чел.</t>
  </si>
  <si>
    <t>Кол-во оборудования</t>
  </si>
  <si>
    <t xml:space="preserve">Пункт приказа
от 03.04.2000г. N 68 госкомитета РФ по строительству и ЖКК
</t>
  </si>
  <si>
    <t>разряд* норм. числен.</t>
  </si>
  <si>
    <t xml:space="preserve">      3-10кВ</t>
  </si>
  <si>
    <t xml:space="preserve">     до 1 кВ</t>
  </si>
  <si>
    <t xml:space="preserve">   с одним трансформатором</t>
  </si>
  <si>
    <t xml:space="preserve">   с двумя трансформаторами</t>
  </si>
  <si>
    <t xml:space="preserve">   мачтовая(столбовая) ТП</t>
  </si>
  <si>
    <t>9. Дизельные электростанции</t>
  </si>
  <si>
    <t>1/10000</t>
  </si>
  <si>
    <t>0,5/5000</t>
  </si>
  <si>
    <t>Утилизация промышленных, опасных и хозяйственных отходов</t>
  </si>
  <si>
    <t>Дезинфекция</t>
  </si>
  <si>
    <t>Помощь к отпуску</t>
  </si>
  <si>
    <t>Премия ко дню энергетика</t>
  </si>
  <si>
    <t>Другие</t>
  </si>
  <si>
    <t xml:space="preserve">Прибыль на социальное развитие </t>
  </si>
  <si>
    <t>Прибыль на поощрение (в т.ч. выплаты соц. характера)</t>
  </si>
  <si>
    <t>Нагрузочные потери</t>
  </si>
  <si>
    <t>Поставка газа</t>
  </si>
  <si>
    <t>Обслуживание пожарной сигнализации</t>
  </si>
  <si>
    <t>Расчет расходов на прочие налоги и сборы</t>
  </si>
  <si>
    <t>Участие в СРО</t>
  </si>
  <si>
    <t>НСД с расходов из прибыли</t>
  </si>
  <si>
    <t>Налог на прибыль с разницы между бухгалтерским и налоговым учетом</t>
  </si>
  <si>
    <r>
      <t>в т.ч. технологический расход (потерь) электрической энергии (</t>
    </r>
    <r>
      <rPr>
        <b/>
        <sz val="10"/>
        <color indexed="8"/>
        <rFont val="Times New Roman"/>
        <family val="1"/>
        <charset val="204"/>
      </rPr>
      <t>из сводного прогнозного баланса производства и поставок электрической энергии</t>
    </r>
    <r>
      <rPr>
        <b/>
        <sz val="10"/>
        <rFont val="Times New Roman"/>
        <family val="1"/>
        <charset val="204"/>
      </rPr>
      <t xml:space="preserve"> - отнесенные на сторонних)</t>
    </r>
  </si>
  <si>
    <t>Рост НВВ</t>
  </si>
  <si>
    <t>рост НВВ содержание</t>
  </si>
  <si>
    <t>рост НВВ потери</t>
  </si>
  <si>
    <t>исключить по ТП</t>
  </si>
  <si>
    <t>Корректировка подконтрольных расходов в связи с изменением планируемых параметров расчета тарифов</t>
  </si>
  <si>
    <t>Обозначение в МУ</t>
  </si>
  <si>
    <t>индекс эффективности подконтрольных расходов, установленный в процентах</t>
  </si>
  <si>
    <t>фактическое значение ИПЦ в году i-2</t>
  </si>
  <si>
    <t>ПР установленные на i-3 год</t>
  </si>
  <si>
    <t>ПР установленные на i-2 год</t>
  </si>
  <si>
    <t>фактическое значение УЕ в i-2 году</t>
  </si>
  <si>
    <t>фактическое значение УЕ в i-3 году</t>
  </si>
  <si>
    <t>коэффициент элластичности</t>
  </si>
  <si>
    <t>Выручка от продажи товаров, продукции, работ, услуг</t>
  </si>
  <si>
    <t>Себестоимость проданных товаров, продукции, работ,   услуг</t>
  </si>
  <si>
    <t>Прибыль (убыток) от продаж</t>
  </si>
  <si>
    <t xml:space="preserve">Основные финансово-экономические показатели хозяйственной деятельности </t>
  </si>
  <si>
    <t>Динамика изменения условных единиц предприятия:</t>
  </si>
  <si>
    <t xml:space="preserve">Объем У.Е., в.т.ч. по уровням напряжения </t>
  </si>
  <si>
    <t>Заявленная мощность</t>
  </si>
  <si>
    <t>МВт</t>
  </si>
  <si>
    <t>Присоединенная мощность</t>
  </si>
  <si>
    <t>МВА</t>
  </si>
  <si>
    <t>Поступление ЭЭ в сеть</t>
  </si>
  <si>
    <t>МВт*ч</t>
  </si>
  <si>
    <t>Полезный отпуск</t>
  </si>
  <si>
    <t>Потери</t>
  </si>
  <si>
    <t xml:space="preserve">Объем оказываемых услуг </t>
  </si>
  <si>
    <t>примечание</t>
  </si>
  <si>
    <t>п.11  МУ 98-э</t>
  </si>
  <si>
    <t>изменено как в RAB</t>
  </si>
  <si>
    <t>Работы и услуги производственного характера</t>
  </si>
  <si>
    <t>цена ээ</t>
  </si>
  <si>
    <t>АТС</t>
  </si>
  <si>
    <t>СО</t>
  </si>
  <si>
    <t>ЦФР</t>
  </si>
  <si>
    <t>числ</t>
  </si>
  <si>
    <t>ФОТ</t>
  </si>
  <si>
    <t>ЗП</t>
  </si>
  <si>
    <t>по согласованным данным с МРСК</t>
  </si>
  <si>
    <t>в расчете на заявленную мощность в среднем по году</t>
  </si>
  <si>
    <t>согласованные объемы с МРСК</t>
  </si>
  <si>
    <t>О.Н Голыхову</t>
  </si>
  <si>
    <t xml:space="preserve"> Принять долгосрочные параметры регулирования  и необходимую валовую выручку на долгосрочный период регулирования (без учета оплаты потерь):</t>
  </si>
  <si>
    <t>руб./МВт.мес.</t>
  </si>
  <si>
    <r>
      <t>4.</t>
    </r>
    <r>
      <rPr>
        <sz val="7"/>
        <rFont val="Times New Roman"/>
        <family val="1"/>
        <charset val="204"/>
      </rPr>
      <t xml:space="preserve">   </t>
    </r>
    <r>
      <rPr>
        <sz val="14"/>
        <rFont val="Times New Roman"/>
        <family val="1"/>
        <charset val="204"/>
      </rPr>
      <t>Отпуск (передача) электроэнергии ТСО (таблица 1.30).</t>
    </r>
  </si>
  <si>
    <t>Реквизиты организации</t>
  </si>
  <si>
    <t>поступление на норматив</t>
  </si>
  <si>
    <t xml:space="preserve">В соответствии с прогнозом соц-эк развития </t>
  </si>
  <si>
    <t>Данные по П-4</t>
  </si>
  <si>
    <t>Расчет расходов на оплату труда</t>
  </si>
  <si>
    <t>договор № ________ от __</t>
  </si>
  <si>
    <t>Анализ динамики и структуры баланса</t>
  </si>
  <si>
    <t>Наименование показателя</t>
  </si>
  <si>
    <t>Изменения</t>
  </si>
  <si>
    <t>Код</t>
  </si>
  <si>
    <t>Структура на начало года</t>
  </si>
  <si>
    <t>Структура на конец года</t>
  </si>
  <si>
    <t>В абсолютных величинах</t>
  </si>
  <si>
    <t>В структуре</t>
  </si>
  <si>
    <t>В % к началу года</t>
  </si>
  <si>
    <t>В % к концу года</t>
  </si>
  <si>
    <t>АКТИВ</t>
  </si>
  <si>
    <t>I. ВНЕОБОРОТНЫЕ АКТИВЫ</t>
  </si>
  <si>
    <t>Нематериальные активы</t>
  </si>
  <si>
    <t>Результаты исследований и разработок</t>
  </si>
  <si>
    <t>Нематериальные поисковые активы</t>
  </si>
  <si>
    <t>Материальные поисковые активы</t>
  </si>
  <si>
    <t>Основные средства</t>
  </si>
  <si>
    <t>Доходные вложения в материальные ценности</t>
  </si>
  <si>
    <t>Финансовые вложения</t>
  </si>
  <si>
    <t>Отложенные налоговые активы</t>
  </si>
  <si>
    <t>Прочие внеоборотные активы</t>
  </si>
  <si>
    <t>Итого по разделу I</t>
  </si>
  <si>
    <t>II. ОБОРОТНЫЕ АКТИВЫ</t>
  </si>
  <si>
    <t>Запасы</t>
  </si>
  <si>
    <t>Налог на добавленную стоимость по приобретенным ценностям</t>
  </si>
  <si>
    <t>Дебиторская задолженность</t>
  </si>
  <si>
    <t>Финансовые вложения (за исключением денежных эквивалентов)</t>
  </si>
  <si>
    <t>Денежные средства и денежные эквиваленты</t>
  </si>
  <si>
    <t>Прочие оборотные активы</t>
  </si>
  <si>
    <t>Итого по разделу II</t>
  </si>
  <si>
    <t>БАЛАНС</t>
  </si>
  <si>
    <t>ПАССИВ</t>
  </si>
  <si>
    <t>III. КАПИТАЛ И РЕЗЕРВЫ</t>
  </si>
  <si>
    <t>Уставный капитал (складочный капитал, уставный фонд, вклады товарищей)</t>
  </si>
  <si>
    <t>Собственные акции, выкупленные у акционеров</t>
  </si>
  <si>
    <t>Переоценка внеоборотных активов</t>
  </si>
  <si>
    <t>Добавочный капитал (без переоценки)</t>
  </si>
  <si>
    <t>Резервный капитал</t>
  </si>
  <si>
    <t>Нераспределенная прибыль (непокрытый убыток)</t>
  </si>
  <si>
    <t>Итого по разделу III</t>
  </si>
  <si>
    <t>IV. ДОЛГОСРОЧНЫЕ ОБЯЗАТЕЛЬСТВА</t>
  </si>
  <si>
    <t>Заемные средства</t>
  </si>
  <si>
    <t>Отложенные налоговые обязательства</t>
  </si>
  <si>
    <t>Оценочные обязательства</t>
  </si>
  <si>
    <t>Прочие обязательства</t>
  </si>
  <si>
    <t>Итого по разделу IV</t>
  </si>
  <si>
    <t>V. КРАТКОСРОЧНЫЕ ОБЯЗАТЕЛЬСТВА</t>
  </si>
  <si>
    <t>Кредиторская задолженность</t>
  </si>
  <si>
    <t>Доходы будущих периодов</t>
  </si>
  <si>
    <t>Итого по разделу V</t>
  </si>
  <si>
    <t>Отчет о прибылях и убытках</t>
  </si>
  <si>
    <t>Изменение в абсолютных величинах</t>
  </si>
  <si>
    <t>Изменение в относительных процентах</t>
  </si>
  <si>
    <t>Выручка</t>
  </si>
  <si>
    <t>Себестоимость продаж</t>
  </si>
  <si>
    <t>Валовая прибыль (убыток)</t>
  </si>
  <si>
    <t>Коммерческие расходы</t>
  </si>
  <si>
    <t>Управленческие расходы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</si>
  <si>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</si>
  <si>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</si>
  <si>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</si>
  <si>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</si>
  <si>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Прочие расходы</t>
  </si>
  <si>
    <t>Прибыль (убыток) до налогообложения</t>
  </si>
  <si>
    <t>Текущий налог на прибыль</t>
  </si>
  <si>
    <t xml:space="preserve">        в т.ч. постоянные налоговые обязательства (активы)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</si>
  <si>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</si>
  <si>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</si>
  <si>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</si>
  <si>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</si>
  <si>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 xml:space="preserve">Наименование сетевой организации </t>
  </si>
  <si>
    <t>Для установления индивидуальных тарифов</t>
  </si>
  <si>
    <r>
      <t>1.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4"/>
        <rFont val="Times New Roman"/>
        <family val="1"/>
        <charset val="204"/>
      </rPr>
      <t xml:space="preserve">Официальное заявление </t>
    </r>
  </si>
  <si>
    <t>2018 факт</t>
  </si>
  <si>
    <t>2019 план</t>
  </si>
  <si>
    <r>
      <t xml:space="preserve"> Расчетные материалы, представляются в ГУ РЭК Рязанской области в </t>
    </r>
    <r>
      <rPr>
        <b/>
        <sz val="20"/>
        <rFont val="Times New Roman"/>
        <family val="1"/>
        <charset val="204"/>
      </rPr>
      <t>одном экземпляре, сшитые и пронумерованные в скоросшиватель, с соответствующим перечнем</t>
    </r>
    <r>
      <rPr>
        <b/>
        <sz val="14"/>
        <rFont val="Times New Roman"/>
        <family val="1"/>
        <charset val="204"/>
      </rPr>
      <t xml:space="preserve"> (заявлением, реквизитами организации, оглавлением,  учредительными документами (устав, свидетельство о постановке на учет в налоговом органе, свидетельство о регистрации), документы , подтверждающие право собственности на имущество (свидетельство, договор аренды, план приватизации), </t>
    </r>
    <r>
      <rPr>
        <b/>
        <sz val="20"/>
        <rFont val="Times New Roman"/>
        <family val="1"/>
        <charset val="204"/>
      </rPr>
      <t>пояснительной запиской</t>
    </r>
    <r>
      <rPr>
        <b/>
        <sz val="14"/>
        <rFont val="Times New Roman"/>
        <family val="1"/>
        <charset val="204"/>
      </rPr>
      <t xml:space="preserve"> (в пояснительной записке указывается краткая характеристика предприятия, все причины, обосновывающие необходимость установления или пересмотра тарифа с постатейными расшифровками, а также необходимые вычисления, проводимые при формировании затрат, прибыли и калькуляции себестоимости, как плановой, так и фактической), расчетными таблицами, обосновывающими материалами. Кроме того, представляется расчет в электронном виде (на электронном носителе, и по электронной почте info@rek.ryazan.ru ) </t>
    </r>
  </si>
  <si>
    <t>Таблицы  и расчеты предоставляются в соответствии с «Методическими указаниями по расчету регулируемых тарифов и цен на электрическую (тепловую)энергию на розничном (потребительском) рынке», утвержденными Приказом ФСТ России от 06.08.2004 N 20-э/2 и   Методическими указаниями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утвержденными Приказом ФСТ РФ от 17.02.2012 N 98-э
.</t>
  </si>
  <si>
    <t>1. Бухгалтерская отчетность за 2018 год, представляемая по формам, утвержденным Приказом Министерства финансов Российской Федерации от 22.07.2003 N 67н "О формах бухгалтерской отчетности организаций":</t>
  </si>
  <si>
    <t>2. Налоговые декларации по транспортному налогу, налогу на землю, налогу на имущество, налогу на прибыль за 2018 год, документы о налоговых льготах.</t>
  </si>
  <si>
    <t>4. Статистическая форма 5-З "Сведения о затратах на производство и продажу продукции (товаров, работ, услуг)" за 2018 год.</t>
  </si>
  <si>
    <t xml:space="preserve">5.Статотчетность по форме 46-ээ (передача) за 2018 год. </t>
  </si>
  <si>
    <t>6. Отчетность, содержащая данные раздельного учета, согласно приложению №1 к Порядку, утвержденного приказом Министерства энергетики Российской Федерации от 13 декабря 2011г. №585</t>
  </si>
  <si>
    <t>Система условных единиц для распределения общей суммы тарифной выручки по классам напряжения (таблицы 2.1., 2.2) факт 2018 и план 2020-2024</t>
  </si>
  <si>
    <t xml:space="preserve"> статистическая форма П-4 " Сведения о численности, заработной плате и движении работников» по предприятию за 2018 год;</t>
  </si>
  <si>
    <t xml:space="preserve"> договоры с подрядными организациями, заключенные на расчетный период регулирования, прошедшие конкурсную процедуру;</t>
  </si>
  <si>
    <t xml:space="preserve"> договоры на выполнение работ. </t>
  </si>
  <si>
    <t xml:space="preserve"> -реестр договоров на поставку материалов;</t>
  </si>
  <si>
    <t>10. Программа энергосбережения</t>
  </si>
  <si>
    <t>11. Показатели надежности и качества</t>
  </si>
  <si>
    <t>12. Информация о согласованных объемах  ( с ОАО "РЭСК" и филиалом «Рязаньэнерго» ОАО «МРСК Центра и Приволжья»)</t>
  </si>
  <si>
    <t>При заполнении таблиц в столбце «базовый период» указывать факт 2018 года, в столбце «период регулирования» – план 2020 года.</t>
  </si>
  <si>
    <t>9. Инвестиционная программа</t>
  </si>
  <si>
    <t xml:space="preserve">Начальнику ГУ РЭК </t>
  </si>
  <si>
    <t>№_______ от _____________2019г.</t>
  </si>
  <si>
    <t>ОКОПФ</t>
  </si>
  <si>
    <t>ФАКТ 2018</t>
  </si>
  <si>
    <t>ПЛАН 2019</t>
  </si>
  <si>
    <t>2020 план</t>
  </si>
  <si>
    <t>Расшифровка статьи  п.1.1.2</t>
  </si>
  <si>
    <t xml:space="preserve">Расшифровка статьи  п.1.1.1 </t>
  </si>
  <si>
    <t>2020 РЭК</t>
  </si>
  <si>
    <t>ИТОГО оплата услуг ОАО "ФСК ЕЭС" (с учтом нагрузочных потерь)</t>
  </si>
  <si>
    <t>факт 2018, тыс. руб.</t>
  </si>
  <si>
    <t>утверждено 2019, тыс. руб.</t>
  </si>
  <si>
    <t>Предложение организации на 2020, тыс. руб.</t>
  </si>
  <si>
    <t xml:space="preserve">План на 2020 год </t>
  </si>
  <si>
    <t>2019 год утвержд.</t>
  </si>
  <si>
    <t>Расчет среднегодовой стоимости основных производственных фондов по линиям электропередач и подстанциям за 2020 год</t>
  </si>
  <si>
    <t>Расчет размера расходов, связанных с осуществлением технологического присоединения к электрическим сетям энергопринимающих устройств Заявителей с максимальной мощностью 15 кВт включительно, не включаемых в состав платы за технологическое присоединение</t>
  </si>
  <si>
    <t xml:space="preserve">№ п/п    </t>
  </si>
  <si>
    <t>ставка платы (руб./кВт, руб./км)</t>
  </si>
  <si>
    <t>мощность, длина линий (кВт, км)</t>
  </si>
  <si>
    <t>Сумма (в соответствии с актами приемки выполненных работ) (тыс. руб.)</t>
  </si>
  <si>
    <t>стандарт. тариф. ставка (руб./кВт, руб./км)</t>
  </si>
  <si>
    <t>сумма (тыс. руб.)</t>
  </si>
  <si>
    <t>Расходы на выполнение организационных мероприятий, связанные с осуществлением технологического присоединения (ТП)
[п.1.1 + п.1.2 + п.1.3 + п.1.4]:</t>
  </si>
  <si>
    <t>подготовка и выдача сетевой организацией технических условий (ТУ) Заявителю, на уровне напряжения i и (или) диапазоне мощности j</t>
  </si>
  <si>
    <t xml:space="preserve">проверка сетевой организацией выполнения Заявителем ТУ, на уровне напряжения i и (или) диапазоне мощности j </t>
  </si>
  <si>
    <t xml:space="preserve">участие в осмотре должностным лицом органа федерального государственного энергетического надзора при участии сетевой организации и собственника присоединяемых Устройств Заявителя, на уровне напряжения i и (или) диапазоне мощности j </t>
  </si>
  <si>
    <t>1.4.</t>
  </si>
  <si>
    <t xml:space="preserve"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положение «включено»), на уровне напряжения i и (или) диапазоне мощности j </t>
  </si>
  <si>
    <t>Расходы по мероприятиям "последней мили", связанные с осуществлением ТП
 [п.2.1 + п.2.2 + п.2.3 + п.2.4 + 2.5]:</t>
  </si>
  <si>
    <t>строительство воздушных линий, на уровне напряжения i и (или) диапазоне мощности j</t>
  </si>
  <si>
    <t>строительство кабельных линий, на уровне напряжения i и (или) диапазоне мощности j</t>
  </si>
  <si>
    <t>2.3.</t>
  </si>
  <si>
    <t>строительством пунктов секционирования, на уровне напряжения i и (или) диапазоне мощности j</t>
  </si>
  <si>
    <t>2.4.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</si>
  <si>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кВ, на уровне напряжения i и (или) диапазоне мощности j </t>
  </si>
  <si>
    <t>2.5.</t>
  </si>
  <si>
    <t>строительство центров питания, подстанций уровнем напряжения 35 кВ и выше (ПС), на уровне напряжения i и (или) диапазоне мощности j</t>
  </si>
  <si>
    <t>Суммарный размер платы за ТП [п.3.1 * п.3.2 / 1000]:</t>
  </si>
  <si>
    <t>Размер платы за ТП (руб. без НДС)</t>
  </si>
  <si>
    <t xml:space="preserve">Плановое количество договоров на осуществление ТП к электрическим сетям (плановое количество членов объединений (организаций), указанных в п.18 Методических указаний по определению размера платы за ТП, утвержденных приказом ФСТ России от 11 сентября 2012 г. № 209-э/1) (шт.) </t>
  </si>
  <si>
    <r>
      <t>Размер расходов, связанных с осуществ-лением ТП</t>
    </r>
    <r>
      <rPr>
        <sz val="14"/>
        <color indexed="8"/>
        <rFont val="Times New Roman"/>
        <family val="1"/>
        <charset val="1"/>
      </rPr>
      <t xml:space="preserve"> </t>
    </r>
    <r>
      <rPr>
        <sz val="12"/>
        <color indexed="8"/>
        <rFont val="Times New Roman"/>
        <family val="1"/>
        <charset val="1"/>
      </rPr>
      <t>к электрическим сетям, не включаемых в состав платы за ТП (п.1 + п.2 – п.3)</t>
    </r>
  </si>
  <si>
    <t>На 31.12.2018</t>
  </si>
  <si>
    <t>Структура 2018</t>
  </si>
  <si>
    <t xml:space="preserve">Информация о согласованных объемах электрической энергии (мощности) </t>
  </si>
  <si>
    <t>передачи сторонним потребителям (субабонентам) в  т.ч.</t>
  </si>
  <si>
    <t>4.2.1</t>
  </si>
  <si>
    <t>Мощность</t>
  </si>
  <si>
    <t>Отпуск из сети (полезный отпуск), в т.ч. для</t>
  </si>
  <si>
    <t>передачи сторонним потребителям (субабонентам) в т.ч.</t>
  </si>
  <si>
    <t>8.2.1</t>
  </si>
  <si>
    <t>№п/п</t>
  </si>
  <si>
    <t xml:space="preserve">Вышестоящие сетевые организации, из сетей которых поступает энергия </t>
  </si>
  <si>
    <t>Поступление электроэнергии всего</t>
  </si>
  <si>
    <t>Поступление в сеть ВН ( 60-110кВ и выше)</t>
  </si>
  <si>
    <t>Поступление в сеть СН 1 (всего) ( 35 кВ)</t>
  </si>
  <si>
    <t>в т.ч. с шин подстанций ВН поставщика</t>
  </si>
  <si>
    <t>Поступление в сеть СН 2 (всего) ( 1-20кВ)</t>
  </si>
  <si>
    <t>в т.ч. с шин подстанций СН 1поставщика</t>
  </si>
  <si>
    <t>Поступление в сеть НН (всего) ( 0,4кВ)</t>
  </si>
  <si>
    <t>в т.ч. с шин подстанций СН 1 поставщика</t>
  </si>
  <si>
    <t>в т.ч. с шин подстанций СН 2 поставщика</t>
  </si>
  <si>
    <t>По физическим уровням напряжения</t>
  </si>
  <si>
    <t xml:space="preserve">Уровень напряжения </t>
  </si>
  <si>
    <t xml:space="preserve">Отпуск из сети (полезный отпуск), млн.кВт.ч. </t>
  </si>
  <si>
    <t xml:space="preserve">В т.ч. переток в смежные ТСО, млн.кВт.ч. </t>
  </si>
  <si>
    <t>Максимальная** мощность по полезному отпуску, МВт</t>
  </si>
  <si>
    <t xml:space="preserve">В т.ч. максимальная** мощность по перетоку в смежные ТСО, МВт </t>
  </si>
  <si>
    <t>Заявленная (расчетная) мощность по полезному отпуску, МВт</t>
  </si>
  <si>
    <t xml:space="preserve"> ВН ( 60-110кВ и выше)</t>
  </si>
  <si>
    <t xml:space="preserve"> СН 1 ( 35 кВ)</t>
  </si>
  <si>
    <t xml:space="preserve"> СН 2  ( 1-20 кВ)</t>
  </si>
  <si>
    <t xml:space="preserve"> НН  ( 0,4 кВ)</t>
  </si>
  <si>
    <t xml:space="preserve"> Всего</t>
  </si>
  <si>
    <t>По тарифным уровням напряжения</t>
  </si>
  <si>
    <t>Объем установленной мощности трансформаторов и максимальной мощности сетевой организации</t>
  </si>
  <si>
    <t>5. Перечень потребителей с максимальной мощностью не менее 670 кВт</t>
  </si>
  <si>
    <t>Наименование вышестоящей сетевой организации, к сетям которой осуществлено присоединение</t>
  </si>
  <si>
    <t>Номинальная установленная мощность трансформаторов, МВА</t>
  </si>
  <si>
    <t>Максимальная мощность,МВт</t>
  </si>
  <si>
    <t>Наименование потребителей</t>
  </si>
  <si>
    <t>**  Максимальная мощность - наибольшая величина мощности, определенная к одномоментному использованию энергопринимающими устройствами в соответствии с документами о технологическом присоединении.</t>
  </si>
  <si>
    <t>Согласовано:</t>
  </si>
  <si>
    <t>ИТОГО РАСХОДОВ</t>
  </si>
  <si>
    <t>Смета расходов и доходов</t>
  </si>
  <si>
    <t>ИТОГО ДОХОДОВ</t>
  </si>
  <si>
    <t>передача э/э</t>
  </si>
  <si>
    <t>техприсоединение</t>
  </si>
  <si>
    <t>Оплата потерь</t>
  </si>
  <si>
    <t>Прибыль до налогообложения</t>
  </si>
  <si>
    <t>Справочно</t>
  </si>
  <si>
    <t>чистая прибыль</t>
  </si>
  <si>
    <t>Месяц</t>
  </si>
  <si>
    <t>Объем нормативных потерь</t>
  </si>
  <si>
    <t>Ставка на содержание сетей</t>
  </si>
  <si>
    <t>Ставка на оплату потерь</t>
  </si>
  <si>
    <t>Оплата услуг ФСК РФ</t>
  </si>
  <si>
    <t>на содержание сетей</t>
  </si>
  <si>
    <t>на оплату потерь</t>
  </si>
  <si>
    <t>всего</t>
  </si>
  <si>
    <t>руб/МВт в мес</t>
  </si>
  <si>
    <t>руб/МВт*ч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</si>
  <si>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</si>
  <si>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</si>
  <si>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</si>
  <si>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</si>
  <si>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</si>
  <si>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</si>
  <si>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</si>
  <si>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</si>
  <si>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</si>
  <si>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</si>
  <si>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</si>
  <si>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</si>
  <si>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Свод по актам об оказании услуг по передаче электрической энергии                                          ПАО "ФСК ЕЭС" за 2018 год</t>
  </si>
  <si>
    <t>Отпуск в сеть</t>
  </si>
  <si>
    <t xml:space="preserve">Корректировка НВВ с учетом изменения полезного отпуска и цен на электрическую энергию           </t>
  </si>
  <si>
    <t>в соответствии с п. 24 Основ ценообразования в области регулируемых цен (тарифо) в элетроэнергетике</t>
  </si>
  <si>
    <t>в соответствии с п. 26 Основ ценообразования</t>
  </si>
  <si>
    <t>в соответствии с п. 25 Основ ценообразования</t>
  </si>
  <si>
    <t>в соответствии с п. 28 Основ ценообразования</t>
  </si>
  <si>
    <t>в соответствии с п. 23 Основ ценообразования. исходя из прогнозных ставок ФСК</t>
  </si>
  <si>
    <t>в соответствии с п. 22 Основ ценообразования. запрос</t>
  </si>
  <si>
    <t xml:space="preserve"> </t>
  </si>
  <si>
    <t xml:space="preserve">в соответствии с п. 28 Основ ценообразования  </t>
  </si>
  <si>
    <t xml:space="preserve"> в соответствии с п. 28 Основ ценообразования </t>
  </si>
  <si>
    <t xml:space="preserve">в соответствии с п. 28 Основ ценообразования </t>
  </si>
  <si>
    <t xml:space="preserve">в соответствии с п. 20 ОСНОВ 1178 по данным бухгалтерского учета за последний истекший период, относ к передаче и ТП .
</t>
  </si>
  <si>
    <t>в соответствии с п. 27 Основ ценообразования</t>
  </si>
  <si>
    <t xml:space="preserve">в соответствии с п. 32 Основ ценообразования. согласно утвержденной ИПР  </t>
  </si>
  <si>
    <t>в соответствии с п. 8 Основ ценообразования и МУ №98-э</t>
  </si>
  <si>
    <t>в соответствии с п.87 Основ ценообразования и МУ №215-э/1 от 11.09.2014  ФСТ России</t>
  </si>
  <si>
    <t xml:space="preserve">В соответствии с МУ №98-э от 17.02.2012г. корректировка по факту </t>
  </si>
  <si>
    <t xml:space="preserve">В соответствии с п.38 Основ ценообразования </t>
  </si>
  <si>
    <t>В соответствии с п.13 МУ №98-э от 17.02.2012г.</t>
  </si>
  <si>
    <t xml:space="preserve"> В соответствии с п.40(1) Основ ценообразования</t>
  </si>
  <si>
    <t>Расчет необходимой валовой выручки на долгосрочный период 2020-2024гг.</t>
  </si>
  <si>
    <t>Уровень потерь  электрической энергии при ее передаче по электрическим сетям</t>
  </si>
  <si>
    <t>Показатель средней продолжительности прекращения передачи электрической энергии на точку поставки</t>
  </si>
  <si>
    <t>час.</t>
  </si>
  <si>
    <t>Показатель средней частоты прекращения  передачи электрической энергии на точку поставки</t>
  </si>
  <si>
    <t>Показатель уровня качества оказываемых услуг</t>
  </si>
  <si>
    <t>Центральный филиал ООО "Газпром энерго"</t>
  </si>
  <si>
    <t>АО "РОЭК" Центральный исполнительный аппарат</t>
  </si>
  <si>
    <t>Прочие</t>
  </si>
  <si>
    <t>Проверка</t>
  </si>
  <si>
    <t xml:space="preserve">филиал "Рязаньэнерго" ПАО "МРСК Центра и Приволжья"  </t>
  </si>
  <si>
    <t xml:space="preserve">Филиал "Рязаньэнерго" ПАО "МРСК Центра и Приволжья"  </t>
  </si>
  <si>
    <t>Московская дирекция по энергообеспечению Трансэнерго - филиал ОАО "РЖД"</t>
  </si>
  <si>
    <t>ИТОГО:</t>
  </si>
  <si>
    <t>Энергия</t>
  </si>
  <si>
    <t>Изменение</t>
  </si>
  <si>
    <t>Пост.в сеть = Потери + Отпуск из сети</t>
  </si>
  <si>
    <t>Потери = собств. + передача</t>
  </si>
  <si>
    <t>Отпуск из сети = собств. + передача</t>
  </si>
  <si>
    <t>Пост.в сеть: Табл.1=Табл2</t>
  </si>
  <si>
    <t>Отпуск из сети всего: Табл.1=Табл3</t>
  </si>
  <si>
    <t>Отпуск из сети собств потр: Табл.1=Табл3</t>
  </si>
  <si>
    <t>Отпуск из сети сторонним: Табл.1=Табл3</t>
  </si>
  <si>
    <t>Проверка макс.мощн</t>
  </si>
  <si>
    <t>Проверка заявл.мощн</t>
  </si>
  <si>
    <t>ЧЧИ</t>
  </si>
  <si>
    <t>Муниципальное унитарное многоотраслевое предприятие жилищно-коммунального хозяйства Гусь-Железный</t>
  </si>
  <si>
    <t>МУ МПЖКХ Гусь-Железный</t>
  </si>
  <si>
    <t>Касимовский муниципальный район</t>
  </si>
  <si>
    <t>391320, Рязанская область, Касимовский район 
р.п. Гусь-Железный,   ул. Дачная, 9</t>
  </si>
  <si>
    <t>6204000137</t>
  </si>
  <si>
    <t>622401001</t>
  </si>
  <si>
    <t>61608154</t>
  </si>
  <si>
    <t>(849131)46131</t>
  </si>
  <si>
    <t>kunicun@rambler.ru</t>
  </si>
  <si>
    <t>Куницына Ирина Фёдоровна</t>
  </si>
  <si>
    <t>Евстифеев Григорий Михайлович</t>
  </si>
  <si>
    <t>(849131)46236</t>
  </si>
  <si>
    <t>gewstifeew@yandex.ru</t>
  </si>
  <si>
    <t>40702810253050100111</t>
  </si>
  <si>
    <t>Отделение №8606 Сбербанка России г.Рязань</t>
  </si>
  <si>
    <t>30101810500000000614</t>
  </si>
  <si>
    <t>0046126614</t>
  </si>
  <si>
    <t>СИП 3 1*50</t>
  </si>
  <si>
    <t>м</t>
  </si>
  <si>
    <t>Стойка СВ110</t>
  </si>
  <si>
    <t>Арматура подвесная</t>
  </si>
  <si>
    <t>Заземляющий проводник ЗП6 см. 21.0112-20</t>
  </si>
  <si>
    <t>Изолятор ШС-10д,  ШФ-20-Г</t>
  </si>
  <si>
    <t>Крюк КН-22 для ШФ-10, ШФ-20</t>
  </si>
  <si>
    <t>Колпачки КП-6а (КП-22)</t>
  </si>
  <si>
    <t>Зажим плашечный ПА-1-1</t>
  </si>
  <si>
    <t>Зажим плашечный ПА-2-2 2-х болтовой</t>
  </si>
  <si>
    <t>Зажим плашечный ПА-3-2 2-х болтовой</t>
  </si>
  <si>
    <t>Зажим плашечный ПС-1-1</t>
  </si>
  <si>
    <t>Зажим плашечный ПС-2-1</t>
  </si>
  <si>
    <t>Вязка спиральная ВС 120/150-2</t>
  </si>
  <si>
    <t>АС 50 (цена за метр)</t>
  </si>
  <si>
    <t>АС 70 (цена за метр)</t>
  </si>
  <si>
    <t>Разрядник РВО-10 У1</t>
  </si>
  <si>
    <t>Разрядник РДИП-10 У3</t>
  </si>
  <si>
    <t>Уголок 50х50х4, метр или кг</t>
  </si>
  <si>
    <t>кг</t>
  </si>
  <si>
    <t>Гайка М10</t>
  </si>
  <si>
    <t>Труба 1'</t>
  </si>
  <si>
    <t>Разъединитель РЛНДМ-1-10-400 У1 (3-х пол.)</t>
  </si>
  <si>
    <t>СИП  2  3*50+1*54,6+2*25</t>
  </si>
  <si>
    <t>СИП  2  3*70+1*54,6+2*25</t>
  </si>
  <si>
    <t>Стойка СВ95</t>
  </si>
  <si>
    <t>Металлическая лента 20х0,7х1000 мм F 20.07</t>
  </si>
  <si>
    <t>рулон</t>
  </si>
  <si>
    <t>Скрепа С20</t>
  </si>
  <si>
    <t>уп.(100шт)</t>
  </si>
  <si>
    <t>Комплект промежуточной подвески ES 1500</t>
  </si>
  <si>
    <t>Анкерный кронштейн СА-2000</t>
  </si>
  <si>
    <t>Натяжной зажим РА1500</t>
  </si>
  <si>
    <t>Провод изолированный ПВС 3х2,5 ГОСТ 7399-80</t>
  </si>
  <si>
    <t>Зажим ПС-1-1 ТУ34-13-10273-88</t>
  </si>
  <si>
    <t>Зажим KZP-1</t>
  </si>
  <si>
    <t>Зажим KZP-2</t>
  </si>
  <si>
    <t>Зажим для временного заземления ZVZ 481</t>
  </si>
  <si>
    <t>Устройство для закорачивания UZK</t>
  </si>
  <si>
    <t>Устройство заземления UZM</t>
  </si>
  <si>
    <t>Эластомерные колпачки CI 25-150</t>
  </si>
  <si>
    <t>Дистанционный бандаж типа BIC-50.90</t>
  </si>
  <si>
    <t>Зажим ответвительный SLIP 22.1 (10-95/10-95)</t>
  </si>
  <si>
    <t>Скоба-скреп. COT 36 (для ленты СОТ 37)</t>
  </si>
  <si>
    <t>Адаптер д/закороток и заземления PMCC</t>
  </si>
  <si>
    <t>Зажим ответвительный P2X-95 (16-95/4-50мм2)</t>
  </si>
  <si>
    <t>Уголок 50х50</t>
  </si>
  <si>
    <t>Ограничитель перенапряжения ОПС1-B 4Р In=30kA  Un=400B Im=60kA</t>
  </si>
  <si>
    <t>Кабель ААшв-10 3х70</t>
  </si>
  <si>
    <t>КНтп-10-25/50 (3-х жил., до 10кV, сеч: 25, 35, 50 мм2) наружной установки</t>
  </si>
  <si>
    <t>КНтп-10-70/120 (3-х жил., до 10кV, сеч: 70, 95, 120 мм2) наружной установки</t>
  </si>
  <si>
    <t>Изолента</t>
  </si>
  <si>
    <t>Припой ПС40</t>
  </si>
  <si>
    <t>пруток</t>
  </si>
  <si>
    <t>Припой для пайки алюминия  П150А, П250А, П300А</t>
  </si>
  <si>
    <t>Кабель ААшв-1 4х70</t>
  </si>
  <si>
    <t>Термоспекаемые ленты КЛ-50;ПТЛ-40;ТЛ-630</t>
  </si>
  <si>
    <t>муфта 1KVRSJ-5/2</t>
  </si>
  <si>
    <t>муфта 1KVRST-5/2</t>
  </si>
  <si>
    <t xml:space="preserve">Термоус. трубка Navigator NST 6/3 71119 </t>
  </si>
  <si>
    <t>Наконечники Ф16</t>
  </si>
  <si>
    <t>Наконечники Ф25</t>
  </si>
  <si>
    <t>Наконечники Ф35</t>
  </si>
  <si>
    <t>Наконечники Ф50</t>
  </si>
  <si>
    <t>Наконечники Ф70</t>
  </si>
  <si>
    <t>Наконечники Ф95</t>
  </si>
  <si>
    <t>Наконечники Ф120</t>
  </si>
  <si>
    <t>Наконечники Ф150</t>
  </si>
  <si>
    <t xml:space="preserve">Трансформатор ТМ160-400кВА 10/0,4кВ </t>
  </si>
  <si>
    <t>Привод пружинный для ВВЭ-М-10-20</t>
  </si>
  <si>
    <t>Ограничитель ОПН-Ф-10/12</t>
  </si>
  <si>
    <t>Плавкая вставка ПН-2 100А</t>
  </si>
  <si>
    <t>Плавкая вставка ПН-2 250А</t>
  </si>
  <si>
    <t>Плавкая вставка ПН-2 400А</t>
  </si>
  <si>
    <t>Предохранитель ПКТ-10</t>
  </si>
  <si>
    <t>Изолятор опорный ИО-1-2,5 У, Т3</t>
  </si>
  <si>
    <t>Изолятор опорный ИО-10-3,75 II У3 (исп.1)</t>
  </si>
  <si>
    <t>Изолятор проходной ИП-10/630-7,5 УХЛ2</t>
  </si>
  <si>
    <t>Изолятор проходной ИПУ-10/630-7,5 УХЛ1</t>
  </si>
  <si>
    <t>Разрядник РВН-0,5</t>
  </si>
  <si>
    <t>Выкл.нагрузки ВНР-10/400</t>
  </si>
  <si>
    <t>ЩО70-1-09АУ3</t>
  </si>
  <si>
    <t>ЩО70-1-07У3</t>
  </si>
  <si>
    <t>Сетка Рабица</t>
  </si>
  <si>
    <t>Цемент</t>
  </si>
  <si>
    <t>меш</t>
  </si>
  <si>
    <t>Кирпич</t>
  </si>
  <si>
    <t>Щебень</t>
  </si>
  <si>
    <t>м³</t>
  </si>
  <si>
    <t>Расчет затрат на проведение ремонтных работ * на 2020г по</t>
  </si>
  <si>
    <t>МТЗ 82УК 05-52РУ</t>
  </si>
  <si>
    <t>ТДТ 75 ДЕРС 2  80-18 РТ</t>
  </si>
  <si>
    <t>Автогрейдер ДЗ- 180 05-51 РУ</t>
  </si>
  <si>
    <t>ЭО2626 Е  80-14</t>
  </si>
  <si>
    <t xml:space="preserve"> УАЗ 390944 942НУ</t>
  </si>
  <si>
    <t>УАЗ 315192 Х 597 ВХ</t>
  </si>
  <si>
    <t>УАЗ 396254  С955 КР</t>
  </si>
  <si>
    <t>УАЗ 315195  В437</t>
  </si>
  <si>
    <t>УАЗ 390945 Н437 РВ</t>
  </si>
  <si>
    <t xml:space="preserve"> МАЗ КС5334357731 У498 НС</t>
  </si>
  <si>
    <t xml:space="preserve"> ЗИЛ 130 В- 952 НН</t>
  </si>
  <si>
    <t>ЗИЛ4516 75-32 РЯС</t>
  </si>
  <si>
    <t>УАЗ 39629 В127 ВХ</t>
  </si>
  <si>
    <t>КАМАЗ 5511 В052 ВХ</t>
  </si>
  <si>
    <t xml:space="preserve"> ГАЗ3309 Т 906 РС</t>
  </si>
  <si>
    <t xml:space="preserve"> АПТ17М Т 539 РТ </t>
  </si>
  <si>
    <t>УАЗ Патриот А 433 СВ</t>
  </si>
  <si>
    <t xml:space="preserve"> УАЗ 3151196 514 СР </t>
  </si>
  <si>
    <t>Налог на прибыль 3% от дохода</t>
  </si>
  <si>
    <t>Испытания электрооборудования</t>
  </si>
  <si>
    <t>Главный инженер</t>
  </si>
  <si>
    <t>Сторож</t>
  </si>
  <si>
    <t>Ср, разряд</t>
  </si>
  <si>
    <t>Тар. коэф.</t>
  </si>
  <si>
    <t>Тарифная сетка по постановлению Правительства России от 29 апреля 2006 г. N 256</t>
  </si>
  <si>
    <t>Работы и услуги производственного характера( в т.ч. Услуги сторонних организаций по содер</t>
  </si>
  <si>
    <t>договор  с ПАО РЭСК от 24.01.18№  310883 на Электроснабжение</t>
  </si>
  <si>
    <t>Отчисления на социальные нужды премии ко дню энергетика</t>
  </si>
  <si>
    <t>Бурильнокрановая машина БМ 20 РМ 29-92</t>
  </si>
  <si>
    <r>
      <t xml:space="preserve">       Прошу Вас в соответствии с законом РФ от 14.04.1995 г. №35-ФЗ «Об электроэнергетике», установить индивидуальные долгосрочные тарифы на услуги по передаче электрической энергии на основе долгосрочных параметров регулирования по сетям </t>
    </r>
    <r>
      <rPr>
        <u/>
        <sz val="14"/>
        <rFont val="Times New Roman"/>
        <family val="1"/>
        <charset val="204"/>
      </rPr>
      <t xml:space="preserve">МУ МПЖКХ Гусь-Железный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указать наименование организации</t>
    </r>
    <r>
      <rPr>
        <sz val="14"/>
        <rFont val="Times New Roman"/>
        <family val="1"/>
        <charset val="204"/>
      </rPr>
      <t>) на 2020-2024 годы (</t>
    </r>
    <r>
      <rPr>
        <i/>
        <sz val="14"/>
        <rFont val="Times New Roman"/>
        <family val="1"/>
        <charset val="204"/>
      </rPr>
      <t xml:space="preserve">указать систему налогообложениия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без НДС</t>
    </r>
    <r>
      <rPr>
        <sz val="14"/>
        <rFont val="Times New Roman"/>
        <family val="1"/>
        <charset val="204"/>
      </rPr>
      <t xml:space="preserve">). </t>
    </r>
  </si>
  <si>
    <t>Начальник МУ МПЖКХ Гусь-Железный</t>
  </si>
  <si>
    <t>ЗАЯВЛЕНИЕ.</t>
  </si>
  <si>
    <t>Расчет амортизационных отчислений, относимых на услуги по передаче электроэнергии, по МУ МПЖКХ Гусь-Железный</t>
  </si>
  <si>
    <t>2018 факт РЭК</t>
  </si>
  <si>
    <t>в расчете на пол.отпуск в сеть</t>
  </si>
  <si>
    <t>в расчете на пол.отпуск в сеть 1 п/г</t>
  </si>
  <si>
    <t>в расчете на пол.отпуск в сеть 2 п/п</t>
  </si>
  <si>
    <t xml:space="preserve">12 </t>
  </si>
  <si>
    <t>Факт РЭК</t>
  </si>
  <si>
    <t>Экономически обоснованные ПР, тыс.руб.</t>
  </si>
  <si>
    <t>OPEX, тыс.руб.</t>
  </si>
  <si>
    <t>Подконтрольные расходы, тыс.руб.</t>
  </si>
  <si>
    <t>2020 предпр.</t>
  </si>
  <si>
    <t>на уровне плана</t>
  </si>
  <si>
    <t>все хозспособом</t>
  </si>
  <si>
    <t>Доля OPEX</t>
  </si>
  <si>
    <t xml:space="preserve">Расходы на ФОТ с учетом OPEX на 2020 </t>
  </si>
  <si>
    <t>уе</t>
  </si>
  <si>
    <t>Производственно-техническая деятельность</t>
  </si>
  <si>
    <t>Присоединение:</t>
  </si>
  <si>
    <t>с масляным выключателем</t>
  </si>
  <si>
    <t>с выключателем нагрузки</t>
  </si>
  <si>
    <t>2,5/1000</t>
  </si>
  <si>
    <t>2/1000</t>
  </si>
  <si>
    <t>2.2.6</t>
  </si>
  <si>
    <t>медкомиссия+спецодежда</t>
  </si>
  <si>
    <t>ремонт компьютеров</t>
  </si>
  <si>
    <t>заправка картриджа</t>
  </si>
  <si>
    <t>проверка газовых котлов и датчиков</t>
  </si>
  <si>
    <t>облгаз обслуживание газовых сетей</t>
  </si>
  <si>
    <t>автостоянка</t>
  </si>
  <si>
    <t>Уточн.расчет предприятия с документами</t>
  </si>
  <si>
    <t>обслуживание кассовых аппаратов</t>
  </si>
  <si>
    <t>Легковые автомобили</t>
  </si>
  <si>
    <t>Марка</t>
  </si>
  <si>
    <t xml:space="preserve">Баззовая норма топлива, л/на100км </t>
  </si>
  <si>
    <t>Норма расхода масла, л</t>
  </si>
  <si>
    <t>D1,зим</t>
  </si>
  <si>
    <t>D2,&gt;8 лет</t>
  </si>
  <si>
    <t>D3-городской цикл</t>
  </si>
  <si>
    <t>D4-бездорожье</t>
  </si>
  <si>
    <t>D5-по ремонту ЭС</t>
  </si>
  <si>
    <t>Пробег S1,км - трасса</t>
  </si>
  <si>
    <t>Пробег S2,км - городской цикл</t>
  </si>
  <si>
    <t>Пробег S3,км -бездорожье</t>
  </si>
  <si>
    <t>Пробег S4,км -по ремонту ЭС</t>
  </si>
  <si>
    <t>Летний расход, 7мес,л</t>
  </si>
  <si>
    <t>Зимний расход, 5мес,л</t>
  </si>
  <si>
    <t>Всего,л</t>
  </si>
  <si>
    <t>Расход тосола,л</t>
  </si>
  <si>
    <t>Расход смазки,кг</t>
  </si>
  <si>
    <t>Расход масла,л</t>
  </si>
  <si>
    <t>Жидкость стеклоомывающая,л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</si>
  <si>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</si>
  <si>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</si>
  <si>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</si>
  <si>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</si>
  <si>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</si>
  <si>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</si>
  <si>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</si>
  <si>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</si>
  <si>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</si>
  <si>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</si>
  <si>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</si>
  <si>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</si>
  <si>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</si>
  <si>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</si>
  <si>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</si>
  <si>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</si>
  <si>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</si>
  <si>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</si>
  <si>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</si>
  <si>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</si>
  <si>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</si>
  <si>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Расход летний, литр/смена</t>
  </si>
  <si>
    <t>Qлето=(0,01*B4*I4*(1+0,01*СУММ(E4))+0,01*B4*J4*(1+0,01*(СУММ(E4)+F4))+0,01*B4*K4*(1+0,01*(СУММ(E4)+G4))+0,01*B4*L4*(1+0,01*(СУММ(E4)+H4)))*20*7</t>
  </si>
  <si>
    <t>Расход зимний, литр/смена</t>
  </si>
  <si>
    <t>Qзима=(0,01*B4*I4*(1+0,01*СУММ(D4:E4))+0,01*B4*J4*(1+0,01*(СУММ(D4:E4)+F4))+0,01*B4*K4*(1+0,01*(СУММ(D4:E4)+G4))+0,01*B4*L4*(1+0,01*(СУММ(D4:E4)+H4)))*20*5</t>
  </si>
  <si>
    <t>Грузовые автомобили</t>
  </si>
  <si>
    <t xml:space="preserve">Пер.груза норма топлива, л/на1т*100км </t>
  </si>
  <si>
    <t>Вес груза, т</t>
  </si>
  <si>
    <t>Qлето=(0,01*B18*K18/2*(1+0,01*СУММ(G18))+0,01*B18*L18/2*(1+0,01*(СУММ(G18)+H18))+0,01*B18*M18/2*(1+0,01*(СУММ(G18)+I18))+0,01*B18*N18/2*(1+0,01*(СУММ(G18)+J18)))*20*7+(0,01*(B18+C18*E18)*K18/2*(1+0,01*СУММ(G18))+0,01*(B18+C18*E18)*L18/2*(1+0,01*(СУММ(G18)</t>
  </si>
  <si>
    <t>Qзима=(0,01*(B18+C18*E18)*K18/2*(1+0,01*СУММ(F18:G18))+0,01*(B18+C18*E18)*L18/2*(1+0,01*(СУММ(F18:G18)+H18))+0,01*(B18+C18*E18)*M18/2*(1+0,01*(СУММ(F18:G18)+I18))+0,01*(B18+C18*E18)*N18/2*(1+0,01*(СУММ(F18:G18)+J18)))*20*5+(0,01*(B18+C18*E18)*K18/2*(1+0,0</t>
  </si>
  <si>
    <t>Спецтехника</t>
  </si>
  <si>
    <t>Спецоборуд. норма топлива, л/на час</t>
  </si>
  <si>
    <t>Время работы спецоборудования, ч</t>
  </si>
  <si>
    <t>Qлето=(0,01*B29*K29*(1+0,01*СУММ(G29))+0,01*B29*L29*(1+0,01*(СУММ(G29)+H29))+0,01*B29*M29*(1+0,01*(СУММ(G29)+I29))+0,01*B29*N29*(1+0,01*(СУММ(G29)+J29)))*20*7+C29*E29*20*7</t>
  </si>
  <si>
    <t>Qзима=(0,01*B29*K29*(1+0,01*СУММ(F29:G29))+0,01*B29*L29*(1+0,01*(СУММ(F29:G29)+H29))+0,01*B29*M29*(1+0,01*(СУММ(F29:G29)+I29))+0,01*B29*N29*(1+0,01*(СУММ(F29:G29)+J29)))*20*5+C29*E29*20*5</t>
  </si>
  <si>
    <t>ГСМ</t>
  </si>
  <si>
    <t>Цена</t>
  </si>
  <si>
    <t>Стоимость</t>
  </si>
  <si>
    <t>л</t>
  </si>
  <si>
    <t>руб/л</t>
  </si>
  <si>
    <t>тыс. руб</t>
  </si>
  <si>
    <t>АИ-92</t>
  </si>
  <si>
    <t>Дизтопливо</t>
  </si>
  <si>
    <t>Масло моторное</t>
  </si>
  <si>
    <t>Смазка пластичная</t>
  </si>
  <si>
    <t>Жидкость стеклоомывающая</t>
  </si>
  <si>
    <t>Гл. инженер                                                                        Г.Евстифеев</t>
  </si>
  <si>
    <t>,</t>
  </si>
  <si>
    <t>Стоимость тыс.руб.(с НДС)</t>
  </si>
  <si>
    <t>Водитель крана</t>
  </si>
  <si>
    <t>Водитель автоподъёмника</t>
  </si>
  <si>
    <t>Водитель ямобура</t>
  </si>
  <si>
    <t>Структура 2019</t>
  </si>
  <si>
    <t>На 31.12.2019</t>
  </si>
  <si>
    <t>2021 план</t>
  </si>
  <si>
    <t>Московская дирек-ция по энергообес-печению Транс-энерго - филиал ОАО "РЖД"</t>
  </si>
  <si>
    <t xml:space="preserve">В т.ч. максимальная** мощность по пере-току в смежные ТСО, МВт </t>
  </si>
  <si>
    <t>Примечание:* Заявленная мощность - величина мощности, планируемой к использованию в предстоящем расчетном периоде регулирования.</t>
  </si>
  <si>
    <t>Значения указывать до 3-х знаков после запятой</t>
  </si>
  <si>
    <t xml:space="preserve">Сетевая организация                 </t>
  </si>
  <si>
    <t>Г.М. Евстифеев</t>
  </si>
  <si>
    <t>МУ МПЖКХ Гусь-Железный                                                                                      ___________________________________</t>
  </si>
  <si>
    <t>Филиал "Рязаньэнерго" ПАО "МРСК Центра и Приволжья"                               ___________________________________</t>
  </si>
  <si>
    <t>В.С. Воронков</t>
  </si>
  <si>
    <t>Гарантирующий поставщик                                                                                         ___________________________________</t>
  </si>
  <si>
    <t>М.Н. Королёва</t>
  </si>
  <si>
    <t>2019 факт</t>
  </si>
  <si>
    <t>2021план</t>
  </si>
  <si>
    <t xml:space="preserve">не поставим </t>
  </si>
  <si>
    <t xml:space="preserve">опросник </t>
  </si>
  <si>
    <t>точная марка ???</t>
  </si>
  <si>
    <t xml:space="preserve">замена </t>
  </si>
  <si>
    <r>
      <t xml:space="preserve">Выключатель вакуумный ВВЭ-М-10-2  </t>
    </r>
    <r>
      <rPr>
        <sz val="12"/>
        <color rgb="FFFF0000"/>
        <rFont val="Times New Roman"/>
        <family val="1"/>
        <charset val="204"/>
      </rPr>
      <t>ВВР 10-20</t>
    </r>
  </si>
  <si>
    <t xml:space="preserve">для более точной цены необходимо заполнить опросник </t>
  </si>
  <si>
    <t xml:space="preserve">не поставим ищите аналоги </t>
  </si>
  <si>
    <r>
      <t xml:space="preserve">Катанка </t>
    </r>
    <r>
      <rPr>
        <i/>
        <sz val="12"/>
        <rFont val="Times New Roman"/>
        <family val="1"/>
        <charset val="204"/>
      </rPr>
      <t>ф</t>
    </r>
    <r>
      <rPr>
        <sz val="12"/>
        <rFont val="Times New Roman"/>
        <family val="1"/>
        <charset val="204"/>
      </rPr>
      <t>6-8мм</t>
    </r>
  </si>
  <si>
    <t>замена 38199</t>
  </si>
  <si>
    <r>
      <t xml:space="preserve">Фасадное крепление BRPF 70-150-6F (D 25-60мм, L 60мм)                     </t>
    </r>
    <r>
      <rPr>
        <sz val="12"/>
        <color rgb="FFFF0000"/>
        <rFont val="Times New Roman"/>
        <family val="1"/>
        <charset val="204"/>
      </rPr>
      <t xml:space="preserve">   07330 </t>
    </r>
  </si>
  <si>
    <r>
      <t xml:space="preserve">Стяжной хомут CSL 260 мм (D 26-66мм)   </t>
    </r>
    <r>
      <rPr>
        <sz val="12"/>
        <color rgb="FFFF0000"/>
        <rFont val="Times New Roman"/>
        <family val="1"/>
        <charset val="204"/>
      </rPr>
      <t>17560</t>
    </r>
  </si>
  <si>
    <t xml:space="preserve">Инструмент натяжения и резки стальной ленты OPV (R-MAF)  код 00753 - cvf </t>
  </si>
  <si>
    <r>
      <t xml:space="preserve">Зажим анкерный SO 250.01 (50-70)    </t>
    </r>
    <r>
      <rPr>
        <sz val="12"/>
        <color rgb="FFFF0000"/>
        <rFont val="Times New Roman"/>
        <family val="1"/>
        <charset val="204"/>
      </rPr>
      <t xml:space="preserve">00745 </t>
    </r>
  </si>
  <si>
    <r>
      <t xml:space="preserve">Кабельный ремешок KR-1           </t>
    </r>
    <r>
      <rPr>
        <sz val="12"/>
        <color rgb="FFFF0000"/>
        <rFont val="Times New Roman"/>
        <family val="1"/>
        <charset val="204"/>
      </rPr>
      <t xml:space="preserve">   19470 </t>
    </r>
  </si>
  <si>
    <t>Зажим ZP-2                                                     24441</t>
  </si>
  <si>
    <r>
      <t xml:space="preserve">Зажим ОР-6                                           </t>
    </r>
    <r>
      <rPr>
        <sz val="12"/>
        <color rgb="FFFF0000"/>
        <rFont val="Times New Roman"/>
        <family val="1"/>
        <charset val="204"/>
      </rPr>
      <t xml:space="preserve">  00752</t>
    </r>
  </si>
  <si>
    <t xml:space="preserve">600 шт </t>
  </si>
  <si>
    <t xml:space="preserve">50 м рулон </t>
  </si>
  <si>
    <t>ЖБ и арматура подвесная</t>
  </si>
  <si>
    <r>
      <t xml:space="preserve">Катанка </t>
    </r>
    <r>
      <rPr>
        <i/>
        <sz val="14"/>
        <color rgb="FFFF0000"/>
        <rFont val="Times New Roman"/>
        <family val="1"/>
        <charset val="204"/>
      </rPr>
      <t>ф</t>
    </r>
    <r>
      <rPr>
        <sz val="14"/>
        <color rgb="FFFF0000"/>
        <rFont val="Times New Roman"/>
        <family val="1"/>
        <charset val="204"/>
      </rPr>
      <t>6-8мм</t>
    </r>
  </si>
  <si>
    <t>не поставим</t>
  </si>
  <si>
    <r>
      <t xml:space="preserve">Пруток Ф10, метр или кг </t>
    </r>
    <r>
      <rPr>
        <sz val="14"/>
        <color rgb="FFFF0000"/>
        <rFont val="Times New Roman"/>
        <family val="1"/>
        <charset val="204"/>
      </rPr>
      <t>круг ст3</t>
    </r>
  </si>
  <si>
    <t>УЗД-1,2</t>
  </si>
  <si>
    <t xml:space="preserve">УЗД -1,1 </t>
  </si>
  <si>
    <t xml:space="preserve">с учетом доставки </t>
  </si>
  <si>
    <r>
      <t xml:space="preserve">Расчет затрат на проведение ремонтных работ * по </t>
    </r>
    <r>
      <rPr>
        <b/>
        <u/>
        <sz val="10"/>
        <rFont val="Times New Roman"/>
        <family val="1"/>
        <charset val="204"/>
      </rPr>
      <t>МУ МПЖКХ Гусь-Железный</t>
    </r>
  </si>
  <si>
    <t>Масло трансформаторное 1 бочка-206л</t>
  </si>
  <si>
    <t>бочка</t>
  </si>
  <si>
    <t>7.Топливо, ГСМ</t>
  </si>
  <si>
    <t>6.Замена приборв учёта АСКУЭ</t>
  </si>
  <si>
    <t>Куликов Александр Александрович</t>
  </si>
  <si>
    <t>ФАКТ 2019</t>
  </si>
  <si>
    <t xml:space="preserve">Корректировка НВВ с учетом изменения полезного отпуска и цен на электрическую энергию за 2019 год                       </t>
  </si>
  <si>
    <t>договора при наличии,  платёжки</t>
  </si>
  <si>
    <t>Другие прочие расходы Общехоз.расходы</t>
  </si>
  <si>
    <r>
      <t xml:space="preserve">Налог на прибыль </t>
    </r>
    <r>
      <rPr>
        <b/>
        <sz val="10"/>
        <rFont val="Arial Cyr"/>
        <charset val="204"/>
      </rPr>
      <t>УСН</t>
    </r>
  </si>
  <si>
    <t>разбить по отраслям доходов</t>
  </si>
  <si>
    <t>2020 факт</t>
  </si>
  <si>
    <t>2022план</t>
  </si>
  <si>
    <t>Полное наименование сетевой организации</t>
  </si>
  <si>
    <t xml:space="preserve">Плановый объем поступления электроэнергии (мощности) в сеть на 2022 год </t>
  </si>
  <si>
    <t>переток в смежные ТСО</t>
  </si>
  <si>
    <r>
      <t>Заменил формулы, т.к. сренее значение  любого количесва слагаемых с заданным числом знаков после нуля не будет самоокругляться до заданного числа(</t>
    </r>
    <r>
      <rPr>
        <u/>
        <sz val="12"/>
        <color indexed="10"/>
        <rFont val="Times New Roman"/>
        <family val="1"/>
        <charset val="204"/>
      </rPr>
      <t>в частном случае до четырёх знаков, если числа не деляться на 12 без остатка)</t>
    </r>
  </si>
  <si>
    <t>факт 2020</t>
  </si>
  <si>
    <t>план 2022</t>
  </si>
  <si>
    <t>Максимальная мощность, МВт</t>
  </si>
  <si>
    <t>Плановый полезный отпуск электроэнергии (мощности) из сетей  на 2022 год</t>
  </si>
  <si>
    <t>В т.ч. Заявленная (расчетная) мощность по перетоку в смежные ТСО, МВт</t>
  </si>
  <si>
    <t>ОАО "Рязаньрыбпром"</t>
  </si>
  <si>
    <t>ЗАО Касимовнеруд</t>
  </si>
  <si>
    <t>цены на январь 2021г</t>
  </si>
  <si>
    <t>Утверждено 2020 год</t>
  </si>
  <si>
    <t>Факт   2020год</t>
  </si>
  <si>
    <t>Факт                     2020 год</t>
  </si>
  <si>
    <t>Корректировка неподконтрольных расходов по результатам 2020 года</t>
  </si>
  <si>
    <t>Корректировка НВВ в связи с изменением (неисполнением) инвестиционной программы по результатам 2020 года</t>
  </si>
  <si>
    <t>Факт           
2020 год</t>
  </si>
  <si>
    <t>План           
2022 год</t>
  </si>
  <si>
    <t>План Январь 2022 год</t>
  </si>
  <si>
    <t>План 
Февраль 2022 год</t>
  </si>
  <si>
    <t>План 
Март 
2022 год</t>
  </si>
  <si>
    <t>План 
Апрель 
2022 год</t>
  </si>
  <si>
    <t>План     
Май 
2022 год</t>
  </si>
  <si>
    <t>План 
Июнь 
2022 год</t>
  </si>
  <si>
    <t>План 1 п/г    
2022 год</t>
  </si>
  <si>
    <t>План 
Июль 
2022 год</t>
  </si>
  <si>
    <t>План 
Август 
2022 год</t>
  </si>
  <si>
    <t>План 
Сентябрь     
2022 год</t>
  </si>
  <si>
    <t>План 
Октябрь 
2022 год</t>
  </si>
  <si>
    <t>План 
Ноябрь 
2022 год</t>
  </si>
  <si>
    <t>План 
Декабрь 
2022 год</t>
  </si>
  <si>
    <t>План 2 п/г  
2022 год</t>
  </si>
  <si>
    <t>в т.ч. содержание сетей (на сторонних)</t>
  </si>
  <si>
    <t>как определяется</t>
  </si>
  <si>
    <t>КС-357731</t>
  </si>
  <si>
    <t>ЗИЛ-130 (АП-18)</t>
  </si>
  <si>
    <t>АПТ-17М</t>
  </si>
  <si>
    <t>Бурилка МТЗ-82/БМ205</t>
  </si>
  <si>
    <t>ЭО-2621</t>
  </si>
  <si>
    <t>МТЗ-82УК</t>
  </si>
  <si>
    <t>ЗИЛ-4516</t>
  </si>
  <si>
    <t>КАМАЗ-5511</t>
  </si>
  <si>
    <t>УАЗ-330944 (Фермер)</t>
  </si>
  <si>
    <t>УАЗ-315192</t>
  </si>
  <si>
    <t>УАЗ-396254</t>
  </si>
  <si>
    <t>УАЗ Patriot</t>
  </si>
  <si>
    <t>УАЗ-315195</t>
  </si>
  <si>
    <t>УАЗ-315196</t>
  </si>
  <si>
    <t>УАЗ-390945</t>
  </si>
  <si>
    <t>Расчёт ГСМ на 2022г. МУ МПЖКХ Гусь- Железный</t>
  </si>
  <si>
    <t xml:space="preserve">Бурилка </t>
  </si>
  <si>
    <t>Фактический объем отпуска электрической энергии                                       (тыс. кВт.ч.)</t>
  </si>
  <si>
    <t>Фактический полезный отпуск   электрической энергии                                     (тыс. кВт.ч.)</t>
  </si>
  <si>
    <t>Фактические потери электрической энергии                                               (тыс. кВт.ч.) Пф i-2</t>
  </si>
  <si>
    <t>Уровень потерь электрической энергии Ni-2</t>
  </si>
  <si>
    <t>Цена покупки потерь электрической энергии,  учтенная при установлении тарифа  (руб/тыс.кВт.ч)</t>
  </si>
  <si>
    <t>Средневзвешенная цена покупки потерь (руб/тыс.кВт.ч)</t>
  </si>
  <si>
    <t>ИТОГО корректировка НВВ  с учетом изменения полезного отпуска и цен на электрическую энергию</t>
  </si>
  <si>
    <t>ИТОГО ЭКОНОМИЯ ПОТЕРЬ</t>
  </si>
  <si>
    <t>Потери*</t>
  </si>
  <si>
    <t>Стоимость потерь *</t>
  </si>
  <si>
    <t>кВт.ч.</t>
  </si>
  <si>
    <t>*Заполняется согласно счета-фактур покупки потерь</t>
  </si>
  <si>
    <t>руб</t>
  </si>
  <si>
    <t>Утверждено на 2020 год</t>
  </si>
  <si>
    <t>Корректировка НВВ с учетом надежности и качества оказываемых услуг по результатам 2020 года</t>
  </si>
  <si>
    <t>Фактические данные за 2019 год</t>
  </si>
  <si>
    <t>Расчетные (фактические) данные на 2020 год</t>
  </si>
  <si>
    <t>Плановые показатели на 2021 год</t>
  </si>
  <si>
    <t>19 262,11</t>
  </si>
  <si>
    <t>3 748,95</t>
  </si>
  <si>
    <t>15 513,16</t>
  </si>
  <si>
    <t>Свод по актам об оказании услуг по передаче электрической энергии (мощности)  филиалу "Рязаньэнерго" ПАО "МРСК Центра и Приволжья"за 2020 год</t>
  </si>
  <si>
    <t>Итого за 1 квартал</t>
  </si>
  <si>
    <t>Итого за 2 квартал</t>
  </si>
  <si>
    <t>Итого за полугодие</t>
  </si>
  <si>
    <t>Итого за 3 квартал</t>
  </si>
  <si>
    <t>Итого за 9 месяцев</t>
  </si>
  <si>
    <t>Итого за 4 квартал</t>
  </si>
  <si>
    <t>Итого за 2020 год</t>
  </si>
  <si>
    <t>Электросн.</t>
  </si>
  <si>
    <t>Технологическое присоединение</t>
  </si>
  <si>
    <t>Всего доходов, в том числе:</t>
  </si>
  <si>
    <t>Доход население (КВЦ, почта, сбербанк, касса)</t>
  </si>
  <si>
    <t>Доход юр. Лица</t>
  </si>
  <si>
    <t>Численность сотрудников на 01 число (чел)</t>
  </si>
  <si>
    <t>Начислено электроэнергии (тыс.кВт.ч)</t>
  </si>
  <si>
    <t>Всего затрат, в том числе</t>
  </si>
  <si>
    <t>Бензин (масло, ДТ)</t>
  </si>
  <si>
    <t>Ремонт и обслуживание</t>
  </si>
  <si>
    <t>Материалы строительные</t>
  </si>
  <si>
    <t>Запчасти</t>
  </si>
  <si>
    <t>Хоз.товары</t>
  </si>
  <si>
    <t>Ремонтные работы автотранспорта</t>
  </si>
  <si>
    <t>Заработная  плата</t>
  </si>
  <si>
    <t>Договора ГПХ</t>
  </si>
  <si>
    <t>Налоги договора ГПХ</t>
  </si>
  <si>
    <t>Канцтовары</t>
  </si>
  <si>
    <t>Госпошлины, услуги банка</t>
  </si>
  <si>
    <t>Абонентское обслуживание</t>
  </si>
  <si>
    <t>Страхование(ОСАГО)</t>
  </si>
  <si>
    <t>Юридические и информационные услуги</t>
  </si>
  <si>
    <t>Прочие услуги оказываемые сторонними организациями</t>
  </si>
  <si>
    <t>Расходы по технике безопасности</t>
  </si>
  <si>
    <t>Пени,штрафы,благотворительность</t>
  </si>
  <si>
    <t>и т.д.</t>
  </si>
  <si>
    <t>Аренда имущества</t>
  </si>
  <si>
    <t>Содержание зданий (Газ,хол.вода)</t>
  </si>
  <si>
    <t>Налоги на заработную плату</t>
  </si>
  <si>
    <t>Налоги, в том числе</t>
  </si>
  <si>
    <t>земельный налог</t>
  </si>
  <si>
    <t>транспортный налог</t>
  </si>
  <si>
    <t>НДС</t>
  </si>
  <si>
    <t>УСН</t>
  </si>
  <si>
    <t>ЕНВД</t>
  </si>
  <si>
    <t>Компенсация потерь за электроэнергию</t>
  </si>
  <si>
    <t>Кредиторская залолженность</t>
  </si>
  <si>
    <t>в том числе налоги</t>
  </si>
  <si>
    <t xml:space="preserve">Итого финансовый результат </t>
  </si>
  <si>
    <t>с учетом премий по 84 счету</t>
  </si>
  <si>
    <t>должно быть</t>
  </si>
  <si>
    <t>Услуги связи</t>
  </si>
  <si>
    <t xml:space="preserve">ремонт основных средств </t>
  </si>
  <si>
    <t>1.01</t>
  </si>
  <si>
    <t>Экономия расходов на оплату потерь электрической энергии</t>
  </si>
  <si>
    <t>в соответствии с п.34(1) Основ ценообразования и МУ №98-э</t>
  </si>
  <si>
    <t xml:space="preserve">Расходы по обеспечению коммерческого учета электрической энергии (мощности),
</t>
  </si>
  <si>
    <t>в соответствии с п.38 Основ ценообразования и МУ №98-э</t>
  </si>
  <si>
    <t>план 2021</t>
  </si>
  <si>
    <t>Фактический ФОТ 2020</t>
  </si>
  <si>
    <t>ИТР И АУП с учётом подмены 1,18</t>
  </si>
  <si>
    <t xml:space="preserve">Водитель </t>
  </si>
  <si>
    <t>Обслуживающий персонал с учётом подмены 1,18:</t>
  </si>
  <si>
    <t>2022 план</t>
  </si>
  <si>
    <t>2022 РЭК</t>
  </si>
  <si>
    <t>ИТОГО неподконтрольные расходы (ПР) тыс.руб</t>
  </si>
  <si>
    <t>Отчисления на социальные нужды помощь к отпуску</t>
  </si>
  <si>
    <t>Гордеева Ирина Александровна</t>
  </si>
  <si>
    <t>А.А. Куликов</t>
  </si>
  <si>
    <t>Счетчик электроэнергии трехфазный со встроенным радиомодулем LoRaWAN Меркурий 234 ARTM2-03 (D)PBRF04</t>
  </si>
  <si>
    <t xml:space="preserve">Счетчик электроэнергии трехфазный со встроенным радиомоду-лем LoRaWAN  Меркурий 238 АRT2-02 (D)POWF04
</t>
  </si>
  <si>
    <t>Счетчик электроэнергии однофазный со встроенным радиомодулем LoRaWAN Меркурий 208 ART2-02 (D)POHWF04</t>
  </si>
  <si>
    <t>Утверждено на 2021,</t>
  </si>
  <si>
    <t>На 31.12.2020</t>
  </si>
  <si>
    <t>плпн 2020</t>
  </si>
  <si>
    <t>договор  с Газпром газораспределение РО от11.01.2021№  __ на_ обсл.газового х-ва________</t>
  </si>
  <si>
    <t>контракт  с Гаспром межрегион газ от_15.01.2021____№  АГ-28-1400111-2021__ на_газоснабжение</t>
  </si>
  <si>
    <t>договор  с МКП Гусевское ЖКХ_ от_____№  __ на_________</t>
  </si>
  <si>
    <t>Бурильнокрановая машина ГАЗ 66 БМ302б</t>
  </si>
</sst>
</file>

<file path=xl/styles.xml><?xml version="1.0" encoding="utf-8"?>
<styleSheet xmlns="http://schemas.openxmlformats.org/spreadsheetml/2006/main">
  <numFmts count="4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0.000"/>
    <numFmt numFmtId="167" formatCode="0.0"/>
    <numFmt numFmtId="168" formatCode="0.0%"/>
    <numFmt numFmtId="169" formatCode="0.0000"/>
    <numFmt numFmtId="170" formatCode="#,##0.0"/>
    <numFmt numFmtId="171" formatCode="#,##0.000"/>
    <numFmt numFmtId="172" formatCode="#,##0.0000"/>
    <numFmt numFmtId="173" formatCode="#,##0.00000"/>
    <numFmt numFmtId="174" formatCode="0.0000000"/>
    <numFmt numFmtId="175" formatCode="_-* #,##0_$_-;\-* #,##0_$_-;_-* &quot;-&quot;_$_-;_-@_-"/>
    <numFmt numFmtId="176" formatCode="_-* #,##0.00_$_-;\-* #,##0.00_$_-;_-* &quot;-&quot;??_$_-;_-@_-"/>
    <numFmt numFmtId="177" formatCode="&quot;$&quot;#,##0_);[Red]\(&quot;$&quot;#,##0\)"/>
    <numFmt numFmtId="178" formatCode="_-* #,##0.00&quot;$&quot;_-;\-* #,##0.00&quot;$&quot;_-;_-* &quot;-&quot;??&quot;$&quot;_-;_-@_-"/>
    <numFmt numFmtId="179" formatCode="0.0%_);\(0.0%\)"/>
    <numFmt numFmtId="180" formatCode="#,##0_);[Red]\(#,##0\)"/>
    <numFmt numFmtId="181" formatCode="###\ ##\ ##"/>
    <numFmt numFmtId="182" formatCode="0_);\(0\)"/>
    <numFmt numFmtId="183" formatCode="General_)"/>
    <numFmt numFmtId="184" formatCode="_-* #,##0&quot;đ.&quot;_-;\-* #,##0&quot;đ.&quot;_-;_-* &quot;-&quot;&quot;đ.&quot;_-;_-@_-"/>
    <numFmt numFmtId="185" formatCode="_-* #,##0.00&quot;đ.&quot;_-;\-* #,##0.00&quot;đ.&quot;_-;_-* &quot;-&quot;??&quot;đ.&quot;_-;_-@_-"/>
    <numFmt numFmtId="186" formatCode="_(* #,##0_);_(* \(#,##0\);_(* &quot;-&quot;??_);_(@_)"/>
    <numFmt numFmtId="187" formatCode="\$#,##0\ ;\(\$#,##0\)"/>
    <numFmt numFmtId="188" formatCode="_-* #,##0.00[$€-1]_-;\-* #,##0.00[$€-1]_-;_-* &quot;-&quot;??[$€-1]_-"/>
    <numFmt numFmtId="189" formatCode="_(* #,##0_);_(* \(#,##0\);_(* &quot;-&quot;_);_(@_)"/>
    <numFmt numFmtId="190" formatCode="#,##0_);[Blue]\(#,##0\)"/>
    <numFmt numFmtId="191" formatCode="_-* #,##0_đ_._-;\-* #,##0_đ_._-;_-* &quot;-&quot;_đ_._-;_-@_-"/>
    <numFmt numFmtId="192" formatCode="_-* #,##0.00_đ_._-;\-* #,##0.00_đ_._-;_-* &quot;-&quot;??_đ_._-;_-@_-"/>
    <numFmt numFmtId="193" formatCode="_(* #,##0.000_);_(* \(#,##0.000\);_(* &quot;-&quot;???_);_(@_)"/>
    <numFmt numFmtId="194" formatCode="_-&quot;Ј&quot;* #,##0_-;\-&quot;Ј&quot;* #,##0_-;_-&quot;Ј&quot;* &quot;-&quot;_-;_-@_-"/>
    <numFmt numFmtId="195" formatCode="_-&quot;Ј&quot;* #,##0.00_-;\-&quot;Ј&quot;* #,##0.00_-;_-&quot;Ј&quot;* &quot;-&quot;??_-;_-@_-"/>
    <numFmt numFmtId="196" formatCode="_-* #,##0\ _р_._-;\-* #,##0\ _р_._-;_-* &quot;-&quot;\ _р_._-;_-@_-"/>
    <numFmt numFmtId="197" formatCode="_(* #,##0.00_);_(* \(#,##0.00\);_(* &quot;-&quot;??_);_(@_)"/>
    <numFmt numFmtId="198" formatCode="_-* #,##0_р_._-;\-* #,##0_р_._-;_-* &quot;-&quot;??_р_._-;_-@_-"/>
    <numFmt numFmtId="199" formatCode="0.00000"/>
    <numFmt numFmtId="200" formatCode="0.000000000000000000000000000000"/>
    <numFmt numFmtId="201" formatCode="0.00000000"/>
    <numFmt numFmtId="202" formatCode="0.000000"/>
    <numFmt numFmtId="203" formatCode="0.00000000000000000000000000000"/>
    <numFmt numFmtId="204" formatCode="0.000%"/>
    <numFmt numFmtId="205" formatCode="#,##0.0000000"/>
  </numFmts>
  <fonts count="20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0"/>
      <name val="Times New Roman Cyr"/>
      <charset val="204"/>
    </font>
    <font>
      <u/>
      <sz val="10"/>
      <name val="Times New Roman"/>
      <family val="1"/>
    </font>
    <font>
      <u/>
      <sz val="10"/>
      <name val="Times New Roman CYR"/>
      <charset val="204"/>
    </font>
    <font>
      <b/>
      <sz val="13"/>
      <name val="Times New Roman"/>
      <family val="1"/>
      <charset val="204"/>
    </font>
    <font>
      <sz val="9"/>
      <name val="Times New Roman Cyr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u/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10"/>
      <name val="Times New Roman CYR"/>
      <charset val="204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 Cyr"/>
      <charset val="204"/>
    </font>
    <font>
      <b/>
      <sz val="9"/>
      <name val="Tahoma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</font>
    <font>
      <i/>
      <sz val="7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8"/>
      <name val="Arial"/>
      <family val="2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Arial Cyr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Helv"/>
      <charset val="204"/>
    </font>
    <font>
      <sz val="8"/>
      <color indexed="12"/>
      <name val="Arial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Palatino"/>
      <family val="1"/>
    </font>
    <font>
      <sz val="10"/>
      <name val="NTHarmonica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u/>
      <sz val="10"/>
      <color indexed="36"/>
      <name val="Arial Cyr"/>
      <charset val="204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2"/>
      <name val="Arial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sz val="11"/>
      <color indexed="8"/>
      <name val="Calibri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  <charset val="204"/>
    </font>
    <font>
      <sz val="10"/>
      <color indexed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color indexed="12"/>
      <name val="Arial Cyr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name val="Arial Cyr"/>
      <charset val="204"/>
    </font>
    <font>
      <sz val="8"/>
      <name val="Times New Roman Cyr"/>
      <charset val="204"/>
    </font>
    <font>
      <sz val="8"/>
      <color rgb="FFFF0000"/>
      <name val="Times New Roman Cyr"/>
      <charset val="204"/>
    </font>
    <font>
      <b/>
      <sz val="10"/>
      <name val="Times New Roman CYR"/>
      <charset val="204"/>
    </font>
    <font>
      <sz val="10"/>
      <name val="Courier New"/>
      <family val="3"/>
      <charset val="204"/>
    </font>
    <font>
      <sz val="14"/>
      <name val="Arial Cyr"/>
      <charset val="204"/>
    </font>
    <font>
      <sz val="18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rgb="FFFF0000"/>
      <name val="Times New Roman Cyr"/>
      <charset val="204"/>
    </font>
    <font>
      <sz val="10"/>
      <color rgb="FFFF0000"/>
      <name val="Times New Roman"/>
      <family val="1"/>
      <charset val="204"/>
    </font>
    <font>
      <sz val="10"/>
      <color theme="0"/>
      <name val="Arial Cyr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color rgb="FFFF0000"/>
      <name val="Arial Cyr"/>
      <charset val="204"/>
    </font>
    <font>
      <sz val="18"/>
      <color rgb="FFFF0000"/>
      <name val="Arial Cyr"/>
      <charset val="204"/>
    </font>
    <font>
      <b/>
      <u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5" tint="-0.499984740745262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/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781">
    <xf numFmtId="0" fontId="0" fillId="0" borderId="0"/>
    <xf numFmtId="0" fontId="58" fillId="0" borderId="0"/>
    <xf numFmtId="168" fontId="59" fillId="0" borderId="0">
      <alignment vertical="top"/>
    </xf>
    <xf numFmtId="168" fontId="69" fillId="0" borderId="0">
      <alignment vertical="top"/>
    </xf>
    <xf numFmtId="179" fontId="69" fillId="2" borderId="0">
      <alignment vertical="top"/>
    </xf>
    <xf numFmtId="168" fontId="69" fillId="3" borderId="0">
      <alignment vertical="top"/>
    </xf>
    <xf numFmtId="0" fontId="68" fillId="0" borderId="0"/>
    <xf numFmtId="0" fontId="58" fillId="0" borderId="0"/>
    <xf numFmtId="0" fontId="58" fillId="0" borderId="0"/>
    <xf numFmtId="0" fontId="58" fillId="0" borderId="0"/>
    <xf numFmtId="180" fontId="59" fillId="0" borderId="0">
      <alignment vertical="top"/>
    </xf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8" fillId="0" borderId="0"/>
    <xf numFmtId="0" fontId="58" fillId="0" borderId="0"/>
    <xf numFmtId="180" fontId="59" fillId="0" borderId="0">
      <alignment vertical="top"/>
    </xf>
    <xf numFmtId="180" fontId="59" fillId="0" borderId="0">
      <alignment vertical="top"/>
    </xf>
    <xf numFmtId="0" fontId="58" fillId="0" borderId="0"/>
    <xf numFmtId="0" fontId="68" fillId="0" borderId="0"/>
    <xf numFmtId="4" fontId="9" fillId="0" borderId="0">
      <alignment vertical="center"/>
    </xf>
    <xf numFmtId="180" fontId="59" fillId="0" borderId="0">
      <alignment vertical="top"/>
    </xf>
    <xf numFmtId="0" fontId="58" fillId="0" borderId="0"/>
    <xf numFmtId="180" fontId="59" fillId="0" borderId="0">
      <alignment vertical="top"/>
    </xf>
    <xf numFmtId="0" fontId="68" fillId="0" borderId="0"/>
    <xf numFmtId="4" fontId="9" fillId="0" borderId="0">
      <alignment vertical="center"/>
    </xf>
    <xf numFmtId="0" fontId="68" fillId="0" borderId="0"/>
    <xf numFmtId="180" fontId="59" fillId="0" borderId="0">
      <alignment vertical="top"/>
    </xf>
    <xf numFmtId="180" fontId="59" fillId="0" borderId="0">
      <alignment vertical="top"/>
    </xf>
    <xf numFmtId="0" fontId="58" fillId="0" borderId="0"/>
    <xf numFmtId="180" fontId="59" fillId="0" borderId="0">
      <alignment vertical="top"/>
    </xf>
    <xf numFmtId="0" fontId="58" fillId="0" borderId="0"/>
    <xf numFmtId="0" fontId="68" fillId="0" borderId="0"/>
    <xf numFmtId="0" fontId="68" fillId="0" borderId="0"/>
    <xf numFmtId="0" fontId="68" fillId="0" borderId="0"/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0" fontId="59" fillId="0" borderId="0">
      <alignment vertical="top"/>
    </xf>
    <xf numFmtId="0" fontId="58" fillId="0" borderId="0"/>
    <xf numFmtId="0" fontId="58" fillId="0" borderId="0"/>
    <xf numFmtId="0" fontId="68" fillId="0" borderId="0"/>
    <xf numFmtId="0" fontId="58" fillId="0" borderId="0"/>
    <xf numFmtId="0" fontId="58" fillId="0" borderId="0"/>
    <xf numFmtId="0" fontId="68" fillId="0" borderId="0"/>
    <xf numFmtId="4" fontId="9" fillId="0" borderId="0">
      <alignment vertical="center"/>
    </xf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68" fillId="0" borderId="0"/>
    <xf numFmtId="0" fontId="58" fillId="0" borderId="0"/>
    <xf numFmtId="0" fontId="68" fillId="0" borderId="0"/>
    <xf numFmtId="180" fontId="59" fillId="0" borderId="0">
      <alignment vertical="top"/>
    </xf>
    <xf numFmtId="0" fontId="68" fillId="0" borderId="0"/>
    <xf numFmtId="0" fontId="68" fillId="0" borderId="0"/>
    <xf numFmtId="180" fontId="59" fillId="0" borderId="0">
      <alignment vertical="top"/>
    </xf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180" fontId="5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8" fillId="0" borderId="0"/>
    <xf numFmtId="0" fontId="58" fillId="0" borderId="0"/>
    <xf numFmtId="0" fontId="68" fillId="0" borderId="0"/>
    <xf numFmtId="180" fontId="59" fillId="0" borderId="0">
      <alignment vertical="top"/>
    </xf>
    <xf numFmtId="0" fontId="58" fillId="0" borderId="0"/>
    <xf numFmtId="0" fontId="58" fillId="0" borderId="0"/>
    <xf numFmtId="180" fontId="59" fillId="0" borderId="0">
      <alignment vertical="top"/>
    </xf>
    <xf numFmtId="0" fontId="68" fillId="0" borderId="0"/>
    <xf numFmtId="0" fontId="58" fillId="0" borderId="0"/>
    <xf numFmtId="0" fontId="58" fillId="0" borderId="0"/>
    <xf numFmtId="0" fontId="58" fillId="0" borderId="0"/>
    <xf numFmtId="0" fontId="68" fillId="0" borderId="0"/>
    <xf numFmtId="0" fontId="6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44" fontId="70" fillId="0" borderId="0">
      <protection locked="0"/>
    </xf>
    <xf numFmtId="44" fontId="70" fillId="0" borderId="0">
      <protection locked="0"/>
    </xf>
    <xf numFmtId="44" fontId="70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0" fontId="70" fillId="0" borderId="1">
      <protection locked="0"/>
    </xf>
    <xf numFmtId="0" fontId="72" fillId="4" borderId="0" applyNumberFormat="0" applyBorder="0" applyAlignment="0" applyProtection="0"/>
    <xf numFmtId="0" fontId="72" fillId="5" borderId="0" applyNumberFormat="0" applyBorder="0" applyAlignment="0" applyProtection="0"/>
    <xf numFmtId="0" fontId="72" fillId="6" borderId="0" applyNumberFormat="0" applyBorder="0" applyAlignment="0" applyProtection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5" borderId="0" applyNumberFormat="0" applyBorder="0" applyAlignment="0" applyProtection="0"/>
    <xf numFmtId="0" fontId="72" fillId="14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8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74" fillId="15" borderId="0" applyNumberFormat="0" applyBorder="0" applyAlignment="0" applyProtection="0"/>
    <xf numFmtId="0" fontId="74" fillId="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5" borderId="0" applyNumberFormat="0" applyBorder="0" applyAlignment="0" applyProtection="0"/>
    <xf numFmtId="0" fontId="74" fillId="14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5" fillId="28" borderId="0" applyNumberFormat="0" applyBorder="0" applyAlignment="0" applyProtection="0"/>
    <xf numFmtId="0" fontId="76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1" borderId="0" applyNumberFormat="0" applyBorder="0" applyAlignment="0" applyProtection="0"/>
    <xf numFmtId="0" fontId="76" fillId="32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5" fillId="33" borderId="0" applyNumberFormat="0" applyBorder="0" applyAlignment="0" applyProtection="0"/>
    <xf numFmtId="0" fontId="76" fillId="32" borderId="0" applyNumberFormat="0" applyBorder="0" applyAlignment="0" applyProtection="0"/>
    <xf numFmtId="0" fontId="77" fillId="34" borderId="0" applyNumberFormat="0" applyBorder="0" applyAlignment="0" applyProtection="0"/>
    <xf numFmtId="0" fontId="77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2" borderId="0" applyNumberFormat="0" applyBorder="0" applyAlignment="0" applyProtection="0"/>
    <xf numFmtId="0" fontId="76" fillId="32" borderId="0" applyNumberFormat="0" applyBorder="0" applyAlignment="0" applyProtection="0"/>
    <xf numFmtId="0" fontId="75" fillId="16" borderId="0" applyNumberFormat="0" applyBorder="0" applyAlignment="0" applyProtection="0"/>
    <xf numFmtId="0" fontId="76" fillId="37" borderId="0" applyNumberFormat="0" applyBorder="0" applyAlignment="0" applyProtection="0"/>
    <xf numFmtId="0" fontId="77" fillId="35" borderId="0" applyNumberFormat="0" applyBorder="0" applyAlignment="0" applyProtection="0"/>
    <xf numFmtId="0" fontId="77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5" fillId="21" borderId="0" applyNumberFormat="0" applyBorder="0" applyAlignment="0" applyProtection="0"/>
    <xf numFmtId="0" fontId="76" fillId="38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8" borderId="0" applyNumberFormat="0" applyBorder="0" applyAlignment="0" applyProtection="0"/>
    <xf numFmtId="0" fontId="76" fillId="38" borderId="0" applyNumberFormat="0" applyBorder="0" applyAlignment="0" applyProtection="0"/>
    <xf numFmtId="0" fontId="75" fillId="22" borderId="0" applyNumberFormat="0" applyBorder="0" applyAlignment="0" applyProtection="0"/>
    <xf numFmtId="0" fontId="76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31" borderId="0" applyNumberFormat="0" applyBorder="0" applyAlignment="0" applyProtection="0"/>
    <xf numFmtId="0" fontId="76" fillId="41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5" fillId="42" borderId="0" applyNumberFormat="0" applyBorder="0" applyAlignment="0" applyProtection="0"/>
    <xf numFmtId="181" fontId="78" fillId="43" borderId="0">
      <alignment horizontal="center" vertical="center"/>
    </xf>
    <xf numFmtId="182" fontId="79" fillId="0" borderId="2" applyFont="0" applyFill="0">
      <alignment horizontal="right" vertical="center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3" fontId="81" fillId="0" borderId="3">
      <protection locked="0"/>
    </xf>
    <xf numFmtId="18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2" fontId="79" fillId="0" borderId="0" applyFont="0" applyBorder="0" applyProtection="0">
      <alignment vertical="center"/>
    </xf>
    <xf numFmtId="181" fontId="49" fillId="0" borderId="0" applyNumberFormat="0" applyFont="0" applyAlignment="0">
      <alignment horizontal="center" vertical="center"/>
    </xf>
    <xf numFmtId="39" fontId="82" fillId="2" borderId="0" applyNumberFormat="0" applyBorder="0">
      <alignment vertical="center"/>
    </xf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1" fillId="0" borderId="0">
      <alignment horizontal="left"/>
    </xf>
    <xf numFmtId="186" fontId="27" fillId="44" borderId="4">
      <alignment vertical="center"/>
    </xf>
    <xf numFmtId="0" fontId="84" fillId="45" borderId="5" applyNumberFormat="0" applyAlignment="0" applyProtection="0"/>
    <xf numFmtId="186" fontId="27" fillId="46" borderId="4">
      <alignment vertical="center"/>
    </xf>
    <xf numFmtId="37" fontId="85" fillId="47" borderId="4">
      <alignment horizontal="center" vertical="center"/>
    </xf>
    <xf numFmtId="0" fontId="86" fillId="32" borderId="6" applyNumberFormat="0" applyAlignment="0" applyProtection="0"/>
    <xf numFmtId="0" fontId="86" fillId="32" borderId="6" applyNumberFormat="0" applyAlignment="0" applyProtection="0"/>
    <xf numFmtId="175" fontId="49" fillId="0" borderId="0" applyFont="0" applyFill="0" applyBorder="0" applyAlignment="0" applyProtection="0"/>
    <xf numFmtId="176" fontId="49" fillId="0" borderId="0" applyFont="0" applyFill="0" applyBorder="0" applyAlignment="0" applyProtection="0"/>
    <xf numFmtId="3" fontId="87" fillId="0" borderId="0" applyFont="0" applyFill="0" applyBorder="0" applyAlignment="0" applyProtection="0"/>
    <xf numFmtId="183" fontId="88" fillId="48" borderId="3"/>
    <xf numFmtId="177" fontId="53" fillId="0" borderId="0" applyFont="0" applyFill="0" applyBorder="0" applyAlignment="0" applyProtection="0"/>
    <xf numFmtId="177" fontId="53" fillId="0" borderId="0" applyFont="0" applyFill="0" applyBorder="0" applyAlignment="0" applyProtection="0"/>
    <xf numFmtId="177" fontId="53" fillId="0" borderId="0" applyFont="0" applyFill="0" applyBorder="0" applyAlignment="0" applyProtection="0"/>
    <xf numFmtId="177" fontId="53" fillId="0" borderId="0" applyFont="0" applyFill="0" applyBorder="0" applyAlignment="0" applyProtection="0"/>
    <xf numFmtId="178" fontId="49" fillId="0" borderId="0" applyFont="0" applyFill="0" applyBorder="0" applyAlignment="0" applyProtection="0"/>
    <xf numFmtId="187" fontId="87" fillId="0" borderId="0" applyFont="0" applyFill="0" applyBorder="0" applyAlignment="0" applyProtection="0"/>
    <xf numFmtId="0" fontId="89" fillId="0" borderId="0" applyFill="0" applyBorder="0" applyProtection="0">
      <alignment vertical="center"/>
    </xf>
    <xf numFmtId="0" fontId="87" fillId="0" borderId="0" applyFont="0" applyFill="0" applyBorder="0" applyAlignment="0" applyProtection="0"/>
    <xf numFmtId="14" fontId="90" fillId="0" borderId="0" applyFont="0" applyBorder="0">
      <alignment vertical="top"/>
    </xf>
    <xf numFmtId="14" fontId="7" fillId="0" borderId="0">
      <alignment vertical="top"/>
    </xf>
    <xf numFmtId="164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180" fontId="91" fillId="0" borderId="0">
      <alignment vertical="top"/>
    </xf>
    <xf numFmtId="0" fontId="92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188" fontId="29" fillId="0" borderId="0" applyFont="0" applyFill="0" applyBorder="0" applyAlignment="0" applyProtection="0"/>
    <xf numFmtId="0" fontId="81" fillId="0" borderId="0"/>
    <xf numFmtId="0" fontId="73" fillId="0" borderId="0"/>
    <xf numFmtId="0" fontId="93" fillId="0" borderId="0" applyNumberFormat="0" applyFill="0" applyBorder="0" applyAlignment="0" applyProtection="0"/>
    <xf numFmtId="2" fontId="87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0" fontId="49" fillId="0" borderId="0" applyNumberFormat="0" applyFont="0">
      <alignment wrapText="1"/>
    </xf>
    <xf numFmtId="189" fontId="81" fillId="52" borderId="4" applyBorder="0">
      <alignment horizontal="center" vertical="center"/>
    </xf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6" fillId="0" borderId="0">
      <alignment vertical="top"/>
    </xf>
    <xf numFmtId="0" fontId="97" fillId="0" borderId="0" applyNumberFormat="0" applyFill="0" applyBorder="0" applyAlignment="0" applyProtection="0"/>
    <xf numFmtId="0" fontId="97" fillId="0" borderId="0"/>
    <xf numFmtId="0" fontId="98" fillId="0" borderId="7" applyNumberFormat="0" applyFill="0" applyAlignment="0" applyProtection="0"/>
    <xf numFmtId="0" fontId="99" fillId="0" borderId="0" applyNumberFormat="0" applyFill="0" applyBorder="0" applyAlignment="0" applyProtection="0"/>
    <xf numFmtId="0" fontId="100" fillId="0" borderId="8" applyNumberFormat="0" applyFill="0" applyAlignment="0" applyProtection="0"/>
    <xf numFmtId="0" fontId="101" fillId="0" borderId="9" applyNumberFormat="0" applyFill="0" applyAlignment="0" applyProtection="0"/>
    <xf numFmtId="0" fontId="101" fillId="0" borderId="9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180" fontId="102" fillId="0" borderId="0">
      <alignment vertical="top"/>
    </xf>
    <xf numFmtId="0" fontId="82" fillId="54" borderId="4">
      <alignment horizontal="center" vertical="center" wrapText="1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83" fontId="104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6" fillId="41" borderId="5" applyNumberFormat="0" applyAlignment="0" applyProtection="0"/>
    <xf numFmtId="0" fontId="106" fillId="41" borderId="5" applyNumberFormat="0" applyAlignment="0" applyProtection="0"/>
    <xf numFmtId="180" fontId="69" fillId="0" borderId="0">
      <alignment vertical="top"/>
    </xf>
    <xf numFmtId="180" fontId="69" fillId="2" borderId="0">
      <alignment vertical="top"/>
    </xf>
    <xf numFmtId="190" fontId="69" fillId="3" borderId="0">
      <alignment vertical="top"/>
    </xf>
    <xf numFmtId="186" fontId="49" fillId="55" borderId="4">
      <alignment vertical="center"/>
    </xf>
    <xf numFmtId="181" fontId="107" fillId="56" borderId="10" applyBorder="0" applyAlignment="0">
      <alignment horizontal="left" indent="1"/>
    </xf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24" fillId="2" borderId="4" applyFont="0" applyBorder="0" applyAlignment="0">
      <alignment horizontal="center" vertical="center"/>
    </xf>
    <xf numFmtId="0" fontId="110" fillId="0" borderId="0" applyNumberFormat="0" applyFill="0" applyBorder="0" applyAlignment="0" applyProtection="0"/>
    <xf numFmtId="0" fontId="54" fillId="0" borderId="0"/>
    <xf numFmtId="0" fontId="89" fillId="0" borderId="0" applyFill="0" applyBorder="0" applyProtection="0">
      <alignment vertical="center"/>
    </xf>
    <xf numFmtId="0" fontId="49" fillId="40" borderId="12" applyNumberFormat="0" applyFont="0" applyAlignment="0" applyProtection="0"/>
    <xf numFmtId="0" fontId="57" fillId="6" borderId="12" applyNumberFormat="0" applyFont="0" applyAlignment="0" applyProtection="0"/>
    <xf numFmtId="0" fontId="49" fillId="40" borderId="12" applyNumberFormat="0" applyFont="0" applyAlignment="0" applyProtection="0"/>
    <xf numFmtId="0" fontId="73" fillId="6" borderId="12" applyNumberFormat="0" applyFont="0" applyAlignment="0" applyProtection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111" fillId="45" borderId="13" applyNumberFormat="0" applyAlignment="0" applyProtection="0"/>
    <xf numFmtId="0" fontId="111" fillId="45" borderId="13" applyNumberFormat="0" applyAlignment="0" applyProtection="0"/>
    <xf numFmtId="0" fontId="112" fillId="2" borderId="0">
      <alignment vertical="center"/>
    </xf>
    <xf numFmtId="0" fontId="89" fillId="0" borderId="0" applyFill="0" applyBorder="0" applyProtection="0">
      <alignment vertical="center"/>
    </xf>
    <xf numFmtId="0" fontId="55" fillId="0" borderId="0" applyNumberFormat="0">
      <alignment horizontal="left"/>
    </xf>
    <xf numFmtId="186" fontId="113" fillId="55" borderId="4">
      <alignment horizontal="center" vertical="center" wrapText="1"/>
      <protection locked="0"/>
    </xf>
    <xf numFmtId="0" fontId="49" fillId="0" borderId="0">
      <alignment vertical="center"/>
    </xf>
    <xf numFmtId="4" fontId="72" fillId="57" borderId="13" applyNumberFormat="0" applyProtection="0">
      <alignment vertical="center"/>
    </xf>
    <xf numFmtId="4" fontId="114" fillId="57" borderId="13" applyNumberFormat="0" applyProtection="0">
      <alignment vertical="center"/>
    </xf>
    <xf numFmtId="4" fontId="72" fillId="57" borderId="13" applyNumberFormat="0" applyProtection="0">
      <alignment horizontal="left" vertical="center" indent="1"/>
    </xf>
    <xf numFmtId="4" fontId="72" fillId="57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4" fontId="72" fillId="59" borderId="13" applyNumberFormat="0" applyProtection="0">
      <alignment horizontal="right" vertical="center"/>
    </xf>
    <xf numFmtId="4" fontId="72" fillId="60" borderId="13" applyNumberFormat="0" applyProtection="0">
      <alignment horizontal="right" vertical="center"/>
    </xf>
    <xf numFmtId="4" fontId="72" fillId="47" borderId="13" applyNumberFormat="0" applyProtection="0">
      <alignment horizontal="right" vertical="center"/>
    </xf>
    <xf numFmtId="4" fontId="72" fillId="61" borderId="13" applyNumberFormat="0" applyProtection="0">
      <alignment horizontal="right" vertical="center"/>
    </xf>
    <xf numFmtId="4" fontId="72" fillId="62" borderId="13" applyNumberFormat="0" applyProtection="0">
      <alignment horizontal="right" vertical="center"/>
    </xf>
    <xf numFmtId="4" fontId="72" fillId="63" borderId="13" applyNumberFormat="0" applyProtection="0">
      <alignment horizontal="right" vertical="center"/>
    </xf>
    <xf numFmtId="4" fontId="72" fillId="64" borderId="13" applyNumberFormat="0" applyProtection="0">
      <alignment horizontal="right" vertical="center"/>
    </xf>
    <xf numFmtId="4" fontId="72" fillId="65" borderId="13" applyNumberFormat="0" applyProtection="0">
      <alignment horizontal="right" vertical="center"/>
    </xf>
    <xf numFmtId="4" fontId="72" fillId="52" borderId="13" applyNumberFormat="0" applyProtection="0">
      <alignment horizontal="right" vertical="center"/>
    </xf>
    <xf numFmtId="4" fontId="115" fillId="66" borderId="13" applyNumberFormat="0" applyProtection="0">
      <alignment horizontal="left" vertical="center" indent="1"/>
    </xf>
    <xf numFmtId="4" fontId="72" fillId="67" borderId="14" applyNumberFormat="0" applyProtection="0">
      <alignment horizontal="left" vertical="center" indent="1"/>
    </xf>
    <xf numFmtId="4" fontId="116" fillId="68" borderId="0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4" fontId="117" fillId="67" borderId="13" applyNumberFormat="0" applyProtection="0">
      <alignment horizontal="left" vertical="center" indent="1"/>
    </xf>
    <xf numFmtId="4" fontId="117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56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69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2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6" fillId="0" borderId="0"/>
    <xf numFmtId="0" fontId="6" fillId="0" borderId="0"/>
    <xf numFmtId="4" fontId="72" fillId="70" borderId="13" applyNumberFormat="0" applyProtection="0">
      <alignment vertical="center"/>
    </xf>
    <xf numFmtId="4" fontId="114" fillId="70" borderId="13" applyNumberFormat="0" applyProtection="0">
      <alignment vertical="center"/>
    </xf>
    <xf numFmtId="4" fontId="72" fillId="70" borderId="13" applyNumberFormat="0" applyProtection="0">
      <alignment horizontal="left" vertical="center" indent="1"/>
    </xf>
    <xf numFmtId="4" fontId="72" fillId="70" borderId="13" applyNumberFormat="0" applyProtection="0">
      <alignment horizontal="left" vertical="center" indent="1"/>
    </xf>
    <xf numFmtId="4" fontId="72" fillId="67" borderId="13" applyNumberFormat="0" applyProtection="0">
      <alignment horizontal="right" vertical="center"/>
    </xf>
    <xf numFmtId="4" fontId="114" fillId="67" borderId="13" applyNumberFormat="0" applyProtection="0">
      <alignment horizontal="right" vertical="center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49" fillId="58" borderId="13" applyNumberFormat="0" applyProtection="0">
      <alignment horizontal="left" vertical="center" indent="1"/>
    </xf>
    <xf numFmtId="0" fontId="118" fillId="0" borderId="0"/>
    <xf numFmtId="4" fontId="119" fillId="67" borderId="13" applyNumberFormat="0" applyProtection="0">
      <alignment horizontal="right" vertical="center"/>
    </xf>
    <xf numFmtId="0" fontId="120" fillId="71" borderId="0"/>
    <xf numFmtId="49" fontId="121" fillId="71" borderId="0"/>
    <xf numFmtId="49" fontId="122" fillId="71" borderId="15"/>
    <xf numFmtId="49" fontId="122" fillId="71" borderId="0"/>
    <xf numFmtId="0" fontId="120" fillId="72" borderId="15">
      <protection locked="0"/>
    </xf>
    <xf numFmtId="0" fontId="120" fillId="71" borderId="0"/>
    <xf numFmtId="0" fontId="122" fillId="73" borderId="0"/>
    <xf numFmtId="0" fontId="122" fillId="52" borderId="0"/>
    <xf numFmtId="0" fontId="122" fillId="61" borderId="0"/>
    <xf numFmtId="0" fontId="123" fillId="0" borderId="0" applyNumberFormat="0" applyFill="0" applyBorder="0" applyAlignment="0" applyProtection="0"/>
    <xf numFmtId="193" fontId="49" fillId="43" borderId="4">
      <alignment vertical="center"/>
    </xf>
    <xf numFmtId="0" fontId="49" fillId="74" borderId="0"/>
    <xf numFmtId="186" fontId="49" fillId="72" borderId="16" applyNumberFormat="0" applyFont="0" applyAlignment="0">
      <alignment horizontal="left"/>
    </xf>
    <xf numFmtId="180" fontId="124" fillId="75" borderId="0">
      <alignment horizontal="right" vertical="top"/>
    </xf>
    <xf numFmtId="0" fontId="123" fillId="0" borderId="0" applyNumberFormat="0" applyFill="0" applyBorder="0" applyAlignment="0" applyProtection="0"/>
    <xf numFmtId="0" fontId="87" fillId="0" borderId="17" applyNumberFormat="0" applyFont="0" applyFill="0" applyAlignment="0" applyProtection="0"/>
    <xf numFmtId="0" fontId="125" fillId="0" borderId="18" applyNumberFormat="0" applyFill="0" applyAlignment="0" applyProtection="0"/>
    <xf numFmtId="0" fontId="87" fillId="0" borderId="17" applyNumberFormat="0" applyFont="0" applyFill="0" applyAlignment="0" applyProtection="0"/>
    <xf numFmtId="186" fontId="126" fillId="47" borderId="19">
      <alignment horizontal="center"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76" borderId="20">
      <alignment vertical="center"/>
      <protection locked="0"/>
    </xf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186" fontId="49" fillId="77" borderId="4" applyNumberFormat="0" applyFill="0" applyBorder="0" applyProtection="0">
      <alignment vertical="center"/>
      <protection locked="0"/>
    </xf>
    <xf numFmtId="0" fontId="158" fillId="84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0" fontId="75" fillId="42" borderId="0" applyNumberFormat="0" applyBorder="0" applyAlignment="0" applyProtection="0"/>
    <xf numFmtId="183" fontId="81" fillId="0" borderId="3">
      <protection locked="0"/>
    </xf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0" fontId="129" fillId="14" borderId="5" applyNumberFormat="0" applyAlignment="0" applyProtection="0"/>
    <xf numFmtId="3" fontId="130" fillId="0" borderId="10" applyFill="0" applyBorder="0">
      <alignment vertical="center"/>
    </xf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1" fillId="17" borderId="13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32" fillId="17" borderId="5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56" fillId="0" borderId="0" applyBorder="0">
      <alignment horizontal="center" vertical="center" wrapText="1"/>
    </xf>
    <xf numFmtId="0" fontId="159" fillId="0" borderId="83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98" fillId="0" borderId="7" applyNumberFormat="0" applyFill="0" applyAlignment="0" applyProtection="0"/>
    <xf numFmtId="0" fontId="160" fillId="0" borderId="84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00" fillId="0" borderId="8" applyNumberFormat="0" applyFill="0" applyAlignment="0" applyProtection="0"/>
    <xf numFmtId="0" fontId="161" fillId="0" borderId="85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7" fillId="0" borderId="22" applyBorder="0">
      <alignment horizontal="center" vertical="center" wrapText="1"/>
    </xf>
    <xf numFmtId="0" fontId="47" fillId="0" borderId="0">
      <alignment horizontal="center" vertical="center" wrapText="1"/>
    </xf>
    <xf numFmtId="183" fontId="88" fillId="48" borderId="3"/>
    <xf numFmtId="4" fontId="57" fillId="57" borderId="4" applyBorder="0">
      <alignment horizontal="right"/>
    </xf>
    <xf numFmtId="4" fontId="57" fillId="57" borderId="4" applyBorder="0">
      <alignment horizontal="right"/>
    </xf>
    <xf numFmtId="4" fontId="57" fillId="57" borderId="4" applyBorder="0">
      <alignment horizontal="right"/>
    </xf>
    <xf numFmtId="49" fontId="135" fillId="0" borderId="0" applyBorder="0">
      <alignment vertical="center"/>
    </xf>
    <xf numFmtId="0" fontId="136" fillId="0" borderId="0">
      <alignment horizontal="left"/>
    </xf>
    <xf numFmtId="0" fontId="137" fillId="2" borderId="0"/>
    <xf numFmtId="0" fontId="162" fillId="0" borderId="86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0" fontId="125" fillId="0" borderId="18" applyNumberFormat="0" applyFill="0" applyAlignment="0" applyProtection="0"/>
    <xf numFmtId="3" fontId="88" fillId="0" borderId="4" applyBorder="0">
      <alignment vertical="center"/>
    </xf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8" fillId="78" borderId="6" applyNumberFormat="0" applyAlignment="0" applyProtection="0"/>
    <xf numFmtId="0" fontId="139" fillId="0" borderId="0">
      <alignment horizontal="center" vertical="top" wrapText="1"/>
    </xf>
    <xf numFmtId="0" fontId="140" fillId="0" borderId="0">
      <alignment horizontal="centerContinuous" vertical="center" wrapText="1"/>
    </xf>
    <xf numFmtId="0" fontId="140" fillId="0" borderId="0">
      <alignment horizontal="centerContinuous" vertical="center" wrapText="1"/>
    </xf>
    <xf numFmtId="0" fontId="140" fillId="0" borderId="0">
      <alignment horizontal="centerContinuous" vertical="center" wrapText="1"/>
    </xf>
    <xf numFmtId="0" fontId="110" fillId="3" borderId="0" applyFill="0">
      <alignment wrapText="1"/>
    </xf>
    <xf numFmtId="0" fontId="110" fillId="3" borderId="0" applyFill="0">
      <alignment wrapText="1"/>
    </xf>
    <xf numFmtId="0" fontId="110" fillId="3" borderId="0" applyFill="0">
      <alignment wrapText="1"/>
    </xf>
    <xf numFmtId="0" fontId="110" fillId="3" borderId="0" applyFill="0">
      <alignment wrapText="1"/>
    </xf>
    <xf numFmtId="0" fontId="110" fillId="3" borderId="0" applyFill="0">
      <alignment wrapText="1"/>
    </xf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0" fontId="142" fillId="79" borderId="0" applyNumberFormat="0" applyBorder="0" applyAlignment="0" applyProtection="0"/>
    <xf numFmtId="49" fontId="57" fillId="0" borderId="0" applyBorder="0">
      <alignment vertical="top"/>
    </xf>
    <xf numFmtId="0" fontId="6" fillId="0" borderId="0"/>
    <xf numFmtId="0" fontId="6" fillId="0" borderId="0"/>
    <xf numFmtId="0" fontId="49" fillId="0" borderId="0"/>
    <xf numFmtId="0" fontId="73" fillId="0" borderId="0"/>
    <xf numFmtId="0" fontId="157" fillId="0" borderId="0"/>
    <xf numFmtId="0" fontId="31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8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49" fontId="57" fillId="0" borderId="0" applyBorder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59" fillId="0" borderId="0">
      <alignment vertical="top"/>
    </xf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49" fontId="57" fillId="0" borderId="0" applyBorder="0">
      <alignment vertical="top"/>
    </xf>
    <xf numFmtId="0" fontId="4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1" fillId="0" borderId="0"/>
    <xf numFmtId="0" fontId="73" fillId="0" borderId="0"/>
    <xf numFmtId="0" fontId="49" fillId="0" borderId="0"/>
    <xf numFmtId="0" fontId="6" fillId="0" borderId="0"/>
    <xf numFmtId="0" fontId="73" fillId="0" borderId="0"/>
    <xf numFmtId="0" fontId="49" fillId="0" borderId="0"/>
    <xf numFmtId="0" fontId="49" fillId="0" borderId="0"/>
    <xf numFmtId="0" fontId="49" fillId="0" borderId="0"/>
    <xf numFmtId="49" fontId="57" fillId="0" borderId="0" applyBorder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3" fillId="0" borderId="0"/>
    <xf numFmtId="0" fontId="157" fillId="0" borderId="0"/>
    <xf numFmtId="0" fontId="73" fillId="0" borderId="0"/>
    <xf numFmtId="0" fontId="49" fillId="0" borderId="0"/>
    <xf numFmtId="0" fontId="49" fillId="0" borderId="0"/>
    <xf numFmtId="178" fontId="59" fillId="0" borderId="0">
      <alignment vertical="top"/>
    </xf>
    <xf numFmtId="49" fontId="57" fillId="0" borderId="0" applyBorder="0">
      <alignment vertical="top"/>
    </xf>
    <xf numFmtId="0" fontId="73" fillId="0" borderId="0"/>
    <xf numFmtId="0" fontId="49" fillId="0" borderId="0"/>
    <xf numFmtId="0" fontId="73" fillId="0" borderId="0"/>
    <xf numFmtId="0" fontId="49" fillId="0" borderId="0"/>
    <xf numFmtId="49" fontId="57" fillId="0" borderId="0" applyBorder="0">
      <alignment vertical="top"/>
    </xf>
    <xf numFmtId="0" fontId="49" fillId="0" borderId="0"/>
    <xf numFmtId="0" fontId="73" fillId="0" borderId="0"/>
    <xf numFmtId="0" fontId="49" fillId="0" borderId="0"/>
    <xf numFmtId="49" fontId="57" fillId="0" borderId="0" applyBorder="0">
      <alignment vertical="top"/>
    </xf>
    <xf numFmtId="0" fontId="31" fillId="0" borderId="0"/>
    <xf numFmtId="0" fontId="19" fillId="0" borderId="0"/>
    <xf numFmtId="0" fontId="6" fillId="0" borderId="0"/>
    <xf numFmtId="0" fontId="49" fillId="0" borderId="0"/>
    <xf numFmtId="0" fontId="19" fillId="0" borderId="0"/>
    <xf numFmtId="0" fontId="19" fillId="0" borderId="0"/>
    <xf numFmtId="0" fontId="6" fillId="0" borderId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143" fillId="9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67" fontId="144" fillId="57" borderId="23" applyNumberFormat="0" applyBorder="0" applyAlignment="0">
      <alignment vertical="center"/>
      <protection locked="0"/>
    </xf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0" fontId="4" fillId="85" borderId="87" applyNumberFormat="0" applyFont="0" applyAlignment="0" applyProtection="0"/>
    <xf numFmtId="0" fontId="73" fillId="6" borderId="12" applyNumberFormat="0" applyFont="0" applyAlignment="0" applyProtection="0"/>
    <xf numFmtId="0" fontId="6" fillId="6" borderId="12" applyNumberFormat="0" applyFont="0" applyAlignment="0" applyProtection="0"/>
    <xf numFmtId="0" fontId="6" fillId="6" borderId="12" applyNumberFormat="0" applyFont="0" applyAlignment="0" applyProtection="0"/>
    <xf numFmtId="0" fontId="6" fillId="6" borderId="12" applyNumberFormat="0" applyFont="0" applyAlignment="0" applyProtection="0"/>
    <xf numFmtId="0" fontId="49" fillId="6" borderId="12" applyNumberFormat="0" applyFont="0" applyAlignment="0" applyProtection="0"/>
    <xf numFmtId="0" fontId="73" fillId="6" borderId="12" applyNumberFormat="0" applyFont="0" applyAlignment="0" applyProtection="0"/>
    <xf numFmtId="0" fontId="6" fillId="6" borderId="12" applyNumberFormat="0" applyFont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0" fontId="73" fillId="6" borderId="12" applyNumberFormat="0" applyFont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73" fillId="0" borderId="0" applyFont="0" applyFill="0" applyBorder="0" applyAlignment="0" applyProtection="0"/>
    <xf numFmtId="177" fontId="7" fillId="0" borderId="0" applyFont="0" applyFill="0" applyBorder="0" applyProtection="0">
      <alignment vertical="top"/>
    </xf>
    <xf numFmtId="9" fontId="4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146" fillId="0" borderId="24" applyNumberFormat="0" applyFill="0" applyAlignment="0" applyProtection="0"/>
    <xf numFmtId="0" fontId="58" fillId="0" borderId="0"/>
    <xf numFmtId="176" fontId="59" fillId="0" borderId="0">
      <alignment vertical="top"/>
    </xf>
    <xf numFmtId="180" fontId="59" fillId="0" borderId="0">
      <alignment vertical="top"/>
    </xf>
    <xf numFmtId="10" fontId="57" fillId="3" borderId="4">
      <alignment horizontal="right"/>
    </xf>
    <xf numFmtId="3" fontId="147" fillId="0" borderId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49" fontId="110" fillId="0" borderId="0">
      <alignment horizontal="center"/>
    </xf>
    <xf numFmtId="49" fontId="110" fillId="0" borderId="0">
      <alignment horizontal="center"/>
    </xf>
    <xf numFmtId="196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197" fontId="49" fillId="0" borderId="0" applyFont="0" applyFill="0" applyBorder="0" applyAlignment="0" applyProtection="0"/>
    <xf numFmtId="43" fontId="6" fillId="0" borderId="0" applyFont="0" applyFill="0" applyBorder="0" applyAlignment="0" applyProtection="0"/>
    <xf numFmtId="197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43" fontId="6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43" fontId="6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7" fillId="3" borderId="0" applyFont="0" applyBorder="0">
      <alignment horizontal="right"/>
    </xf>
    <xf numFmtId="4" fontId="57" fillId="3" borderId="0" applyBorder="0">
      <alignment horizontal="right"/>
    </xf>
    <xf numFmtId="4" fontId="57" fillId="3" borderId="0" applyBorder="0">
      <alignment horizontal="right"/>
    </xf>
    <xf numFmtId="4" fontId="57" fillId="3" borderId="0" applyFont="0" applyBorder="0">
      <alignment horizontal="right"/>
    </xf>
    <xf numFmtId="3" fontId="150" fillId="0" borderId="4" applyBorder="0">
      <alignment vertical="center"/>
    </xf>
    <xf numFmtId="4" fontId="57" fillId="3" borderId="0" applyFont="0" applyBorder="0">
      <alignment horizontal="right"/>
    </xf>
    <xf numFmtId="4" fontId="57" fillId="3" borderId="25" applyBorder="0">
      <alignment horizontal="right"/>
    </xf>
    <xf numFmtId="4" fontId="57" fillId="80" borderId="25" applyBorder="0">
      <alignment horizontal="right"/>
    </xf>
    <xf numFmtId="4" fontId="57" fillId="3" borderId="25" applyBorder="0">
      <alignment horizontal="right"/>
    </xf>
    <xf numFmtId="4" fontId="57" fillId="3" borderId="4" applyFont="0" applyBorder="0">
      <alignment horizontal="right"/>
    </xf>
    <xf numFmtId="4" fontId="57" fillId="3" borderId="4" applyFont="0" applyBorder="0">
      <alignment horizontal="right"/>
    </xf>
    <xf numFmtId="4" fontId="57" fillId="3" borderId="4" applyFont="0" applyBorder="0">
      <alignment horizontal="right"/>
    </xf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170" fontId="6" fillId="0" borderId="4" applyFont="0" applyFill="0" applyBorder="0" applyProtection="0">
      <alignment horizontal="center" vertical="center"/>
    </xf>
    <xf numFmtId="170" fontId="6" fillId="0" borderId="4" applyFont="0" applyFill="0" applyBorder="0" applyProtection="0">
      <alignment horizontal="center" vertical="center"/>
    </xf>
    <xf numFmtId="3" fontId="81" fillId="0" borderId="4" applyBorder="0">
      <alignment vertical="center"/>
    </xf>
    <xf numFmtId="44" fontId="70" fillId="0" borderId="0">
      <protection locked="0"/>
    </xf>
    <xf numFmtId="0" fontId="81" fillId="0" borderId="4" applyBorder="0">
      <alignment horizontal="center" vertical="center" wrapText="1"/>
    </xf>
    <xf numFmtId="0" fontId="49" fillId="0" borderId="0" applyNumberFormat="0" applyFont="0" applyFill="0" applyBorder="0" applyAlignment="0" applyProtection="0">
      <alignment vertical="top"/>
    </xf>
    <xf numFmtId="0" fontId="49" fillId="0" borderId="0"/>
    <xf numFmtId="0" fontId="3" fillId="0" borderId="0"/>
    <xf numFmtId="0" fontId="6" fillId="0" borderId="0"/>
    <xf numFmtId="0" fontId="81" fillId="0" borderId="0" applyNumberFormat="0" applyFill="0" applyBorder="0" applyAlignment="0" applyProtection="0"/>
    <xf numFmtId="0" fontId="194" fillId="0" borderId="0"/>
  </cellStyleXfs>
  <cellXfs count="1962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10" fillId="0" borderId="4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0" xfId="0" applyFont="1" applyAlignment="1"/>
    <xf numFmtId="0" fontId="12" fillId="0" borderId="0" xfId="0" applyFont="1" applyAlignment="1"/>
    <xf numFmtId="0" fontId="12" fillId="0" borderId="0" xfId="0" applyFont="1" applyFill="1" applyAlignment="1"/>
    <xf numFmtId="49" fontId="10" fillId="0" borderId="0" xfId="0" applyNumberFormat="1" applyFont="1"/>
    <xf numFmtId="0" fontId="12" fillId="0" borderId="0" xfId="2622" applyFont="1" applyAlignment="1">
      <alignment horizontal="right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5" fillId="0" borderId="0" xfId="0" applyFont="1"/>
    <xf numFmtId="0" fontId="10" fillId="0" borderId="4" xfId="0" applyFont="1" applyBorder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9" fillId="0" borderId="0" xfId="2620"/>
    <xf numFmtId="0" fontId="19" fillId="0" borderId="0" xfId="2620" applyAlignment="1">
      <alignment horizontal="left"/>
    </xf>
    <xf numFmtId="0" fontId="9" fillId="0" borderId="0" xfId="2622" applyFont="1" applyAlignment="1">
      <alignment horizontal="right"/>
    </xf>
    <xf numFmtId="0" fontId="19" fillId="0" borderId="0" xfId="2620" applyAlignment="1">
      <alignment horizontal="center" vertical="center" wrapText="1"/>
    </xf>
    <xf numFmtId="0" fontId="19" fillId="0" borderId="27" xfId="2620" applyBorder="1" applyAlignment="1">
      <alignment horizontal="center" vertical="center" wrapText="1"/>
    </xf>
    <xf numFmtId="0" fontId="19" fillId="0" borderId="4" xfId="2620" applyBorder="1" applyAlignment="1">
      <alignment horizontal="center" vertical="center" wrapText="1"/>
    </xf>
    <xf numFmtId="0" fontId="19" fillId="0" borderId="26" xfId="2620" applyBorder="1" applyAlignment="1">
      <alignment horizontal="center" vertical="center" wrapText="1"/>
    </xf>
    <xf numFmtId="0" fontId="8" fillId="0" borderId="4" xfId="2620" applyFont="1" applyBorder="1" applyAlignment="1">
      <alignment horizontal="center" vertical="center" wrapText="1"/>
    </xf>
    <xf numFmtId="0" fontId="19" fillId="0" borderId="4" xfId="2620" applyBorder="1" applyAlignment="1">
      <alignment horizontal="center" vertical="center"/>
    </xf>
    <xf numFmtId="0" fontId="19" fillId="0" borderId="4" xfId="2620" applyBorder="1" applyAlignment="1">
      <alignment horizontal="left" vertical="center" indent="1"/>
    </xf>
    <xf numFmtId="0" fontId="19" fillId="0" borderId="4" xfId="2620" applyBorder="1" applyAlignment="1">
      <alignment horizontal="center"/>
    </xf>
    <xf numFmtId="0" fontId="19" fillId="0" borderId="28" xfId="2620" applyBorder="1" applyAlignment="1">
      <alignment horizontal="left" vertical="center" indent="7"/>
    </xf>
    <xf numFmtId="0" fontId="19" fillId="0" borderId="29" xfId="2620" applyBorder="1" applyAlignment="1">
      <alignment horizontal="left" vertical="center" indent="7"/>
    </xf>
    <xf numFmtId="17" fontId="19" fillId="0" borderId="4" xfId="2620" applyNumberFormat="1" applyBorder="1" applyAlignment="1">
      <alignment horizontal="left" vertical="center" wrapText="1" indent="1"/>
    </xf>
    <xf numFmtId="0" fontId="19" fillId="0" borderId="4" xfId="2620" applyBorder="1" applyAlignment="1">
      <alignment horizontal="center" wrapText="1"/>
    </xf>
    <xf numFmtId="0" fontId="19" fillId="0" borderId="27" xfId="2620" applyBorder="1" applyAlignment="1">
      <alignment horizontal="left" vertical="center" indent="1"/>
    </xf>
    <xf numFmtId="0" fontId="8" fillId="0" borderId="27" xfId="2620" applyFont="1" applyBorder="1" applyAlignment="1">
      <alignment horizontal="center" vertical="center" wrapText="1"/>
    </xf>
    <xf numFmtId="0" fontId="19" fillId="0" borderId="27" xfId="2620" applyBorder="1" applyAlignment="1">
      <alignment horizontal="center"/>
    </xf>
    <xf numFmtId="0" fontId="19" fillId="0" borderId="0" xfId="2620" applyBorder="1" applyAlignment="1">
      <alignment horizontal="center"/>
    </xf>
    <xf numFmtId="0" fontId="19" fillId="0" borderId="0" xfId="2620" applyBorder="1" applyAlignment="1">
      <alignment horizontal="center" vertical="center" wrapText="1"/>
    </xf>
    <xf numFmtId="17" fontId="19" fillId="0" borderId="0" xfId="2620" applyNumberFormat="1" applyBorder="1" applyAlignment="1">
      <alignment horizontal="center" vertical="center" wrapText="1"/>
    </xf>
    <xf numFmtId="0" fontId="19" fillId="0" borderId="26" xfId="2620" applyBorder="1" applyAlignment="1">
      <alignment horizontal="center" vertical="center"/>
    </xf>
    <xf numFmtId="167" fontId="19" fillId="0" borderId="4" xfId="2620" applyNumberFormat="1" applyBorder="1" applyAlignment="1">
      <alignment horizontal="center" vertical="center"/>
    </xf>
    <xf numFmtId="17" fontId="19" fillId="0" borderId="4" xfId="2620" applyNumberFormat="1" applyBorder="1" applyAlignment="1">
      <alignment horizontal="center" vertical="center"/>
    </xf>
    <xf numFmtId="0" fontId="19" fillId="0" borderId="28" xfId="2620" applyFont="1" applyBorder="1" applyAlignment="1">
      <alignment vertical="center"/>
    </xf>
    <xf numFmtId="0" fontId="19" fillId="0" borderId="0" xfId="2620" applyFont="1"/>
    <xf numFmtId="0" fontId="19" fillId="0" borderId="30" xfId="2620" applyBorder="1" applyAlignment="1">
      <alignment horizontal="center" vertical="center" wrapText="1"/>
    </xf>
    <xf numFmtId="0" fontId="19" fillId="0" borderId="31" xfId="2620" applyBorder="1" applyAlignment="1">
      <alignment horizontal="center" vertical="center" wrapText="1"/>
    </xf>
    <xf numFmtId="0" fontId="8" fillId="0" borderId="32" xfId="2620" applyFont="1" applyBorder="1" applyAlignment="1">
      <alignment horizontal="center" vertical="center" wrapText="1"/>
    </xf>
    <xf numFmtId="0" fontId="19" fillId="0" borderId="33" xfId="2620" applyBorder="1" applyAlignment="1">
      <alignment horizontal="center" vertical="center"/>
    </xf>
    <xf numFmtId="0" fontId="19" fillId="0" borderId="34" xfId="2620" applyBorder="1" applyAlignment="1">
      <alignment horizontal="left" vertical="center" indent="7"/>
    </xf>
    <xf numFmtId="0" fontId="19" fillId="0" borderId="33" xfId="2620" applyBorder="1" applyAlignment="1">
      <alignment horizontal="center" vertical="center" wrapText="1"/>
    </xf>
    <xf numFmtId="0" fontId="19" fillId="0" borderId="35" xfId="2620" applyBorder="1" applyAlignment="1">
      <alignment horizontal="center" vertical="center"/>
    </xf>
    <xf numFmtId="0" fontId="19" fillId="0" borderId="36" xfId="2620" applyBorder="1" applyAlignment="1">
      <alignment horizontal="left" vertical="center" indent="7"/>
    </xf>
    <xf numFmtId="0" fontId="19" fillId="0" borderId="37" xfId="2620" applyBorder="1" applyAlignment="1">
      <alignment horizontal="left" vertical="center" indent="7"/>
    </xf>
    <xf numFmtId="0" fontId="19" fillId="0" borderId="38" xfId="2620" applyBorder="1" applyAlignment="1">
      <alignment horizontal="left" vertical="center" indent="7"/>
    </xf>
    <xf numFmtId="0" fontId="8" fillId="0" borderId="39" xfId="2620" applyFont="1" applyBorder="1" applyAlignment="1">
      <alignment horizontal="center" vertical="center" wrapText="1"/>
    </xf>
    <xf numFmtId="0" fontId="8" fillId="0" borderId="40" xfId="2620" applyFont="1" applyBorder="1" applyAlignment="1">
      <alignment horizontal="center" vertical="center" wrapText="1"/>
    </xf>
    <xf numFmtId="0" fontId="8" fillId="0" borderId="41" xfId="2620" applyFont="1" applyBorder="1" applyAlignment="1">
      <alignment horizontal="center" vertical="center" wrapText="1"/>
    </xf>
    <xf numFmtId="0" fontId="19" fillId="0" borderId="26" xfId="2620" applyBorder="1" applyAlignment="1">
      <alignment horizontal="center"/>
    </xf>
    <xf numFmtId="0" fontId="8" fillId="0" borderId="30" xfId="2620" applyFont="1" applyBorder="1" applyAlignment="1">
      <alignment horizontal="center" vertical="center" wrapText="1"/>
    </xf>
    <xf numFmtId="0" fontId="8" fillId="0" borderId="31" xfId="2620" applyFont="1" applyBorder="1" applyAlignment="1">
      <alignment horizontal="center" vertical="center" wrapText="1"/>
    </xf>
    <xf numFmtId="0" fontId="19" fillId="0" borderId="30" xfId="2620" applyBorder="1" applyAlignment="1">
      <alignment horizontal="center"/>
    </xf>
    <xf numFmtId="0" fontId="19" fillId="0" borderId="37" xfId="2620" applyFont="1" applyBorder="1" applyAlignment="1">
      <alignment vertical="center"/>
    </xf>
    <xf numFmtId="0" fontId="19" fillId="0" borderId="30" xfId="2620" applyFont="1" applyBorder="1" applyAlignment="1">
      <alignment horizontal="center" vertical="center" wrapText="1"/>
    </xf>
    <xf numFmtId="0" fontId="19" fillId="0" borderId="4" xfId="2620" applyFont="1" applyBorder="1" applyAlignment="1">
      <alignment horizontal="center" vertical="center" wrapText="1"/>
    </xf>
    <xf numFmtId="0" fontId="19" fillId="0" borderId="32" xfId="2620" applyFont="1" applyBorder="1" applyAlignment="1">
      <alignment horizontal="center" vertical="center" wrapText="1"/>
    </xf>
    <xf numFmtId="0" fontId="9" fillId="0" borderId="4" xfId="2620" applyFont="1" applyBorder="1" applyAlignment="1">
      <alignment horizontal="left" vertical="center" wrapText="1" indent="1"/>
    </xf>
    <xf numFmtId="0" fontId="9" fillId="0" borderId="30" xfId="2620" applyFont="1" applyBorder="1" applyAlignment="1">
      <alignment horizontal="left" vertical="center" wrapText="1" indent="1"/>
    </xf>
    <xf numFmtId="0" fontId="19" fillId="0" borderId="32" xfId="2620" applyBorder="1" applyAlignment="1">
      <alignment horizontal="center" vertical="center" wrapText="1"/>
    </xf>
    <xf numFmtId="17" fontId="19" fillId="0" borderId="0" xfId="2620" applyNumberFormat="1" applyBorder="1" applyAlignment="1">
      <alignment horizontal="center"/>
    </xf>
    <xf numFmtId="0" fontId="19" fillId="0" borderId="42" xfId="2620" applyBorder="1" applyAlignment="1">
      <alignment horizontal="center" vertical="center" wrapText="1"/>
    </xf>
    <xf numFmtId="0" fontId="19" fillId="0" borderId="40" xfId="2620" applyFont="1" applyBorder="1" applyAlignment="1">
      <alignment horizontal="center" vertical="center" wrapText="1"/>
    </xf>
    <xf numFmtId="0" fontId="19" fillId="0" borderId="40" xfId="2620" applyFont="1" applyBorder="1" applyAlignment="1">
      <alignment horizontal="center" vertical="center"/>
    </xf>
    <xf numFmtId="0" fontId="19" fillId="0" borderId="30" xfId="2620" applyBorder="1" applyAlignment="1">
      <alignment horizontal="center" vertical="center"/>
    </xf>
    <xf numFmtId="0" fontId="9" fillId="0" borderId="0" xfId="2618" applyNumberFormat="1" applyFont="1" applyFill="1" applyBorder="1" applyAlignment="1" applyProtection="1">
      <alignment vertical="top"/>
    </xf>
    <xf numFmtId="0" fontId="9" fillId="0" borderId="0" xfId="2618" applyNumberFormat="1" applyFont="1" applyFill="1" applyBorder="1" applyAlignment="1" applyProtection="1">
      <alignment vertical="top" wrapText="1"/>
    </xf>
    <xf numFmtId="0" fontId="19" fillId="0" borderId="0" xfId="2617"/>
    <xf numFmtId="0" fontId="19" fillId="0" borderId="0" xfId="2617" applyBorder="1"/>
    <xf numFmtId="0" fontId="9" fillId="0" borderId="0" xfId="2618" applyNumberFormat="1" applyFont="1" applyFill="1" applyBorder="1" applyAlignment="1" applyProtection="1">
      <alignment horizontal="right" vertical="top"/>
    </xf>
    <xf numFmtId="0" fontId="9" fillId="0" borderId="0" xfId="2617" applyNumberFormat="1" applyFont="1" applyFill="1" applyBorder="1" applyAlignment="1" applyProtection="1">
      <alignment vertical="top"/>
    </xf>
    <xf numFmtId="0" fontId="9" fillId="0" borderId="0" xfId="2617" applyNumberFormat="1" applyFont="1" applyFill="1" applyBorder="1" applyAlignment="1" applyProtection="1">
      <alignment vertical="top" wrapText="1"/>
    </xf>
    <xf numFmtId="0" fontId="9" fillId="0" borderId="0" xfId="2617" applyNumberFormat="1" applyFont="1" applyFill="1" applyBorder="1" applyAlignment="1" applyProtection="1">
      <alignment horizontal="right" vertical="top"/>
    </xf>
    <xf numFmtId="0" fontId="19" fillId="0" borderId="4" xfId="2617" applyFont="1" applyBorder="1"/>
    <xf numFmtId="0" fontId="19" fillId="0" borderId="0" xfId="2617" applyBorder="1" applyAlignment="1">
      <alignment wrapText="1"/>
    </xf>
    <xf numFmtId="0" fontId="19" fillId="0" borderId="0" xfId="2617" applyAlignment="1">
      <alignment wrapText="1"/>
    </xf>
    <xf numFmtId="0" fontId="23" fillId="0" borderId="33" xfId="2617" applyFont="1" applyBorder="1" applyAlignment="1">
      <alignment horizontal="center" wrapText="1"/>
    </xf>
    <xf numFmtId="0" fontId="19" fillId="0" borderId="32" xfId="2617" applyFont="1" applyBorder="1"/>
    <xf numFmtId="0" fontId="19" fillId="0" borderId="41" xfId="2617" applyFont="1" applyBorder="1"/>
    <xf numFmtId="3" fontId="17" fillId="0" borderId="29" xfId="2617" applyNumberFormat="1" applyFont="1" applyBorder="1" applyAlignment="1"/>
    <xf numFmtId="3" fontId="17" fillId="0" borderId="38" xfId="2617" applyNumberFormat="1" applyFont="1" applyBorder="1" applyAlignment="1"/>
    <xf numFmtId="0" fontId="10" fillId="0" borderId="32" xfId="2617" applyFont="1" applyBorder="1" applyAlignment="1">
      <alignment wrapText="1"/>
    </xf>
    <xf numFmtId="0" fontId="10" fillId="0" borderId="32" xfId="2617" applyFont="1" applyBorder="1" applyAlignment="1">
      <alignment horizontal="justify" wrapText="1"/>
    </xf>
    <xf numFmtId="0" fontId="10" fillId="0" borderId="41" xfId="2617" applyFont="1" applyBorder="1" applyAlignment="1">
      <alignment wrapText="1"/>
    </xf>
    <xf numFmtId="49" fontId="12" fillId="0" borderId="43" xfId="0" applyNumberFormat="1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25" fillId="0" borderId="2" xfId="2620" applyFont="1" applyBorder="1" applyAlignment="1">
      <alignment horizontal="center" vertical="center" wrapText="1"/>
    </xf>
    <xf numFmtId="0" fontId="25" fillId="0" borderId="46" xfId="2620" applyFont="1" applyBorder="1" applyAlignment="1">
      <alignment horizontal="center" vertical="center" wrapText="1"/>
    </xf>
    <xf numFmtId="0" fontId="24" fillId="0" borderId="0" xfId="2620" applyFont="1" applyBorder="1" applyAlignment="1">
      <alignment horizontal="center" wrapText="1"/>
    </xf>
    <xf numFmtId="0" fontId="10" fillId="0" borderId="33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9" fillId="0" borderId="0" xfId="2620" applyFill="1"/>
    <xf numFmtId="0" fontId="10" fillId="0" borderId="0" xfId="0" applyFont="1" applyFill="1" applyAlignment="1">
      <alignment horizontal="center" vertical="center" wrapText="1"/>
    </xf>
    <xf numFmtId="0" fontId="19" fillId="0" borderId="45" xfId="2620" applyBorder="1" applyAlignment="1">
      <alignment horizontal="center" vertical="center" wrapText="1"/>
    </xf>
    <xf numFmtId="0" fontId="26" fillId="0" borderId="49" xfId="2620" applyFont="1" applyBorder="1" applyAlignment="1">
      <alignment wrapText="1"/>
    </xf>
    <xf numFmtId="0" fontId="19" fillId="0" borderId="29" xfId="2620" applyBorder="1" applyAlignment="1">
      <alignment horizontal="left" wrapText="1"/>
    </xf>
    <xf numFmtId="0" fontId="19" fillId="0" borderId="29" xfId="2620" applyBorder="1" applyAlignment="1">
      <alignment horizontal="right" wrapText="1"/>
    </xf>
    <xf numFmtId="0" fontId="19" fillId="0" borderId="29" xfId="2620" applyFont="1" applyBorder="1" applyAlignment="1">
      <alignment horizontal="right" wrapText="1"/>
    </xf>
    <xf numFmtId="0" fontId="19" fillId="0" borderId="38" xfId="2620" applyBorder="1" applyAlignment="1">
      <alignment horizontal="right" wrapText="1"/>
    </xf>
    <xf numFmtId="0" fontId="19" fillId="0" borderId="49" xfId="2620" applyBorder="1" applyAlignment="1">
      <alignment horizontal="left" wrapText="1"/>
    </xf>
    <xf numFmtId="0" fontId="19" fillId="0" borderId="48" xfId="2620" applyBorder="1"/>
    <xf numFmtId="0" fontId="19" fillId="0" borderId="25" xfId="2620" applyFont="1" applyBorder="1" applyAlignment="1">
      <alignment horizontal="center"/>
    </xf>
    <xf numFmtId="0" fontId="19" fillId="0" borderId="33" xfId="2620" applyFont="1" applyBorder="1" applyAlignment="1">
      <alignment horizontal="center"/>
    </xf>
    <xf numFmtId="0" fontId="19" fillId="0" borderId="33" xfId="2620" applyBorder="1" applyAlignment="1">
      <alignment horizontal="center"/>
    </xf>
    <xf numFmtId="0" fontId="19" fillId="0" borderId="39" xfId="2620" applyBorder="1" applyAlignment="1">
      <alignment horizontal="center"/>
    </xf>
    <xf numFmtId="0" fontId="19" fillId="0" borderId="38" xfId="2620" applyFont="1" applyBorder="1" applyAlignment="1">
      <alignment horizontal="right" wrapText="1"/>
    </xf>
    <xf numFmtId="0" fontId="19" fillId="0" borderId="39" xfId="2620" applyFont="1" applyBorder="1" applyAlignment="1">
      <alignment horizontal="center"/>
    </xf>
    <xf numFmtId="0" fontId="23" fillId="0" borderId="33" xfId="2617" applyFont="1" applyBorder="1" applyAlignment="1">
      <alignment horizontal="right" wrapText="1"/>
    </xf>
    <xf numFmtId="0" fontId="23" fillId="0" borderId="39" xfId="2617" applyFont="1" applyBorder="1" applyAlignment="1">
      <alignment horizontal="right" wrapText="1"/>
    </xf>
    <xf numFmtId="0" fontId="10" fillId="0" borderId="38" xfId="2617" applyNumberFormat="1" applyFont="1" applyFill="1" applyBorder="1" applyAlignment="1" applyProtection="1">
      <alignment horizontal="center" vertical="center" wrapText="1"/>
    </xf>
    <xf numFmtId="0" fontId="10" fillId="0" borderId="40" xfId="2617" applyNumberFormat="1" applyFont="1" applyFill="1" applyBorder="1" applyAlignment="1" applyProtection="1">
      <alignment horizontal="center" vertical="center" wrapText="1"/>
    </xf>
    <xf numFmtId="0" fontId="10" fillId="0" borderId="41" xfId="2617" applyNumberFormat="1" applyFont="1" applyFill="1" applyBorder="1" applyAlignment="1" applyProtection="1">
      <alignment horizontal="center" vertical="center" wrapText="1"/>
    </xf>
    <xf numFmtId="0" fontId="23" fillId="0" borderId="25" xfId="2617" applyFont="1" applyBorder="1" applyAlignment="1">
      <alignment horizontal="center" wrapText="1"/>
    </xf>
    <xf numFmtId="0" fontId="10" fillId="0" borderId="31" xfId="2617" applyFont="1" applyBorder="1" applyAlignment="1">
      <alignment wrapText="1"/>
    </xf>
    <xf numFmtId="3" fontId="17" fillId="0" borderId="49" xfId="2617" applyNumberFormat="1" applyFont="1" applyBorder="1" applyAlignment="1"/>
    <xf numFmtId="0" fontId="19" fillId="0" borderId="31" xfId="2617" applyFont="1" applyBorder="1"/>
    <xf numFmtId="0" fontId="23" fillId="0" borderId="39" xfId="2617" applyFont="1" applyBorder="1" applyAlignment="1">
      <alignment horizontal="center" wrapText="1"/>
    </xf>
    <xf numFmtId="0" fontId="23" fillId="0" borderId="50" xfId="2617" applyFont="1" applyBorder="1" applyAlignment="1">
      <alignment horizontal="center" wrapText="1"/>
    </xf>
    <xf numFmtId="0" fontId="10" fillId="0" borderId="51" xfId="2617" applyFont="1" applyBorder="1" applyAlignment="1">
      <alignment wrapText="1"/>
    </xf>
    <xf numFmtId="3" fontId="17" fillId="0" borderId="23" xfId="2617" applyNumberFormat="1" applyFont="1" applyBorder="1" applyAlignment="1"/>
    <xf numFmtId="0" fontId="19" fillId="0" borderId="51" xfId="2617" applyFont="1" applyBorder="1"/>
    <xf numFmtId="3" fontId="17" fillId="0" borderId="25" xfId="2617" applyNumberFormat="1" applyFont="1" applyBorder="1" applyAlignment="1"/>
    <xf numFmtId="3" fontId="17" fillId="0" borderId="33" xfId="2617" applyNumberFormat="1" applyFont="1" applyBorder="1" applyAlignment="1"/>
    <xf numFmtId="3" fontId="17" fillId="0" borderId="39" xfId="2617" applyNumberFormat="1" applyFont="1" applyBorder="1" applyAlignment="1"/>
    <xf numFmtId="168" fontId="17" fillId="0" borderId="38" xfId="2664" applyNumberFormat="1" applyFont="1" applyBorder="1" applyAlignment="1"/>
    <xf numFmtId="168" fontId="17" fillId="0" borderId="39" xfId="2664" applyNumberFormat="1" applyFont="1" applyBorder="1" applyAlignment="1"/>
    <xf numFmtId="168" fontId="17" fillId="0" borderId="52" xfId="2664" applyNumberFormat="1" applyFont="1" applyBorder="1" applyAlignment="1"/>
    <xf numFmtId="3" fontId="10" fillId="0" borderId="53" xfId="2617" applyNumberFormat="1" applyFont="1" applyBorder="1" applyAlignment="1"/>
    <xf numFmtId="3" fontId="10" fillId="0" borderId="30" xfId="2617" applyNumberFormat="1" applyFont="1" applyBorder="1" applyAlignment="1">
      <alignment horizontal="center" vertical="center"/>
    </xf>
    <xf numFmtId="3" fontId="10" fillId="0" borderId="30" xfId="2617" applyNumberFormat="1" applyFont="1" applyBorder="1" applyAlignment="1"/>
    <xf numFmtId="3" fontId="10" fillId="0" borderId="4" xfId="2617" applyNumberFormat="1" applyFont="1" applyBorder="1" applyAlignment="1">
      <alignment horizontal="center" vertical="center"/>
    </xf>
    <xf numFmtId="3" fontId="10" fillId="0" borderId="4" xfId="2617" applyNumberFormat="1" applyFont="1" applyBorder="1" applyAlignment="1"/>
    <xf numFmtId="3" fontId="10" fillId="0" borderId="40" xfId="2617" applyNumberFormat="1" applyFont="1" applyBorder="1" applyAlignment="1">
      <alignment horizontal="center" vertical="center"/>
    </xf>
    <xf numFmtId="0" fontId="28" fillId="0" borderId="0" xfId="2617" applyFont="1"/>
    <xf numFmtId="0" fontId="19" fillId="0" borderId="41" xfId="2620" applyFont="1" applyBorder="1" applyAlignment="1">
      <alignment horizontal="center"/>
    </xf>
    <xf numFmtId="0" fontId="19" fillId="0" borderId="41" xfId="2620" applyFont="1" applyFill="1" applyBorder="1" applyAlignment="1">
      <alignment horizontal="center" vertical="center" wrapText="1"/>
    </xf>
    <xf numFmtId="0" fontId="19" fillId="0" borderId="31" xfId="2620" applyFill="1" applyBorder="1" applyAlignment="1">
      <alignment horizontal="center" vertical="center" wrapText="1"/>
    </xf>
    <xf numFmtId="0" fontId="19" fillId="0" borderId="32" xfId="2620" applyFill="1" applyBorder="1" applyAlignment="1">
      <alignment horizontal="center" vertical="center" wrapText="1"/>
    </xf>
    <xf numFmtId="0" fontId="19" fillId="0" borderId="35" xfId="2620" applyBorder="1" applyAlignment="1">
      <alignment horizontal="center"/>
    </xf>
    <xf numFmtId="0" fontId="19" fillId="0" borderId="54" xfId="2620" applyBorder="1" applyAlignment="1">
      <alignment horizontal="right" wrapText="1"/>
    </xf>
    <xf numFmtId="0" fontId="26" fillId="0" borderId="30" xfId="2620" applyFont="1" applyBorder="1" applyAlignment="1">
      <alignment wrapText="1"/>
    </xf>
    <xf numFmtId="0" fontId="8" fillId="3" borderId="30" xfId="2620" applyFont="1" applyFill="1" applyBorder="1" applyAlignment="1" applyProtection="1">
      <alignment horizontal="center" vertical="center" wrapText="1"/>
      <protection locked="0"/>
    </xf>
    <xf numFmtId="0" fontId="8" fillId="3" borderId="4" xfId="2620" applyFont="1" applyFill="1" applyBorder="1" applyAlignment="1" applyProtection="1">
      <alignment horizontal="center" vertical="center" wrapText="1"/>
      <protection locked="0"/>
    </xf>
    <xf numFmtId="0" fontId="19" fillId="3" borderId="4" xfId="2620" applyFill="1" applyBorder="1" applyProtection="1">
      <protection locked="0"/>
    </xf>
    <xf numFmtId="0" fontId="19" fillId="3" borderId="4" xfId="2620" applyFill="1" applyBorder="1" applyAlignment="1" applyProtection="1">
      <alignment horizontal="center"/>
      <protection locked="0"/>
    </xf>
    <xf numFmtId="0" fontId="19" fillId="3" borderId="26" xfId="2620" applyFill="1" applyBorder="1" applyAlignment="1" applyProtection="1">
      <alignment horizontal="center" vertical="center" wrapText="1"/>
      <protection locked="0"/>
    </xf>
    <xf numFmtId="0" fontId="19" fillId="3" borderId="4" xfId="2620" applyFill="1" applyBorder="1" applyAlignment="1" applyProtection="1">
      <alignment horizontal="center" vertical="center" wrapText="1"/>
      <protection locked="0"/>
    </xf>
    <xf numFmtId="0" fontId="19" fillId="3" borderId="27" xfId="2620" applyFill="1" applyBorder="1" applyAlignment="1" applyProtection="1">
      <alignment horizontal="center" vertical="center" wrapText="1"/>
      <protection locked="0"/>
    </xf>
    <xf numFmtId="3" fontId="10" fillId="3" borderId="4" xfId="2617" applyNumberFormat="1" applyFont="1" applyFill="1" applyBorder="1" applyAlignment="1" applyProtection="1">
      <protection locked="0"/>
    </xf>
    <xf numFmtId="0" fontId="19" fillId="3" borderId="32" xfId="2617" applyFont="1" applyFill="1" applyBorder="1" applyProtection="1">
      <protection locked="0"/>
    </xf>
    <xf numFmtId="0" fontId="10" fillId="3" borderId="32" xfId="2617" applyFont="1" applyFill="1" applyBorder="1" applyAlignment="1" applyProtection="1">
      <alignment wrapText="1"/>
      <protection locked="0"/>
    </xf>
    <xf numFmtId="0" fontId="10" fillId="3" borderId="41" xfId="2617" applyFont="1" applyFill="1" applyBorder="1" applyAlignment="1" applyProtection="1">
      <alignment wrapText="1"/>
      <protection locked="0"/>
    </xf>
    <xf numFmtId="0" fontId="19" fillId="3" borderId="30" xfId="2617" applyFont="1" applyFill="1" applyBorder="1" applyProtection="1">
      <protection locked="0"/>
    </xf>
    <xf numFmtId="0" fontId="19" fillId="3" borderId="31" xfId="2617" applyFont="1" applyFill="1" applyBorder="1" applyProtection="1">
      <protection locked="0"/>
    </xf>
    <xf numFmtId="0" fontId="19" fillId="3" borderId="4" xfId="2617" applyFont="1" applyFill="1" applyBorder="1" applyProtection="1">
      <protection locked="0"/>
    </xf>
    <xf numFmtId="0" fontId="19" fillId="3" borderId="40" xfId="2617" applyFont="1" applyFill="1" applyBorder="1" applyProtection="1">
      <protection locked="0"/>
    </xf>
    <xf numFmtId="0" fontId="19" fillId="3" borderId="41" xfId="2617" applyFont="1" applyFill="1" applyBorder="1" applyProtection="1">
      <protection locked="0"/>
    </xf>
    <xf numFmtId="0" fontId="16" fillId="3" borderId="55" xfId="2617" applyFont="1" applyFill="1" applyBorder="1" applyAlignment="1" applyProtection="1">
      <alignment wrapText="1"/>
      <protection locked="0"/>
    </xf>
    <xf numFmtId="0" fontId="16" fillId="3" borderId="51" xfId="2617" applyFont="1" applyFill="1" applyBorder="1" applyAlignment="1" applyProtection="1">
      <alignment wrapText="1"/>
      <protection locked="0"/>
    </xf>
    <xf numFmtId="0" fontId="19" fillId="3" borderId="27" xfId="2617" applyFont="1" applyFill="1" applyBorder="1" applyProtection="1">
      <protection locked="0"/>
    </xf>
    <xf numFmtId="0" fontId="19" fillId="3" borderId="55" xfId="2617" applyFont="1" applyFill="1" applyBorder="1" applyProtection="1">
      <protection locked="0"/>
    </xf>
    <xf numFmtId="0" fontId="19" fillId="0" borderId="0" xfId="2617" applyProtection="1"/>
    <xf numFmtId="0" fontId="22" fillId="0" borderId="0" xfId="2618" applyNumberFormat="1" applyFont="1" applyFill="1" applyBorder="1" applyAlignment="1" applyProtection="1">
      <alignment vertical="top"/>
    </xf>
    <xf numFmtId="0" fontId="22" fillId="0" borderId="0" xfId="2618" applyNumberFormat="1" applyFont="1" applyFill="1" applyBorder="1" applyAlignment="1" applyProtection="1">
      <alignment vertical="top" wrapText="1"/>
    </xf>
    <xf numFmtId="49" fontId="10" fillId="0" borderId="0" xfId="0" applyNumberFormat="1" applyFont="1" applyProtection="1"/>
    <xf numFmtId="49" fontId="11" fillId="0" borderId="0" xfId="0" applyNumberFormat="1" applyFont="1" applyFill="1" applyAlignment="1" applyProtection="1"/>
    <xf numFmtId="0" fontId="11" fillId="0" borderId="0" xfId="0" applyNumberFormat="1" applyFont="1" applyFill="1" applyAlignment="1" applyProtection="1"/>
    <xf numFmtId="0" fontId="27" fillId="0" borderId="0" xfId="0" applyFont="1" applyFill="1" applyAlignment="1" applyProtection="1"/>
    <xf numFmtId="0" fontId="19" fillId="0" borderId="0" xfId="2620" applyFill="1" applyProtection="1"/>
    <xf numFmtId="0" fontId="27" fillId="0" borderId="0" xfId="0" applyFont="1" applyFill="1" applyAlignment="1" applyProtection="1">
      <alignment wrapText="1"/>
    </xf>
    <xf numFmtId="0" fontId="19" fillId="0" borderId="0" xfId="2620" applyProtection="1"/>
    <xf numFmtId="0" fontId="0" fillId="0" borderId="0" xfId="0" applyAlignment="1">
      <alignment wrapText="1"/>
    </xf>
    <xf numFmtId="0" fontId="9" fillId="0" borderId="25" xfId="2618" applyNumberFormat="1" applyFont="1" applyFill="1" applyBorder="1" applyAlignment="1" applyProtection="1">
      <alignment vertical="top"/>
    </xf>
    <xf numFmtId="0" fontId="9" fillId="0" borderId="33" xfId="2618" applyNumberFormat="1" applyFont="1" applyFill="1" applyBorder="1" applyAlignment="1" applyProtection="1">
      <alignment vertical="top"/>
    </xf>
    <xf numFmtId="0" fontId="19" fillId="0" borderId="39" xfId="2617" applyFont="1" applyBorder="1"/>
    <xf numFmtId="0" fontId="9" fillId="0" borderId="56" xfId="2618" applyNumberFormat="1" applyFont="1" applyFill="1" applyBorder="1" applyAlignment="1" applyProtection="1">
      <alignment vertical="top" wrapText="1"/>
    </xf>
    <xf numFmtId="0" fontId="9" fillId="0" borderId="57" xfId="2618" applyNumberFormat="1" applyFont="1" applyFill="1" applyBorder="1" applyAlignment="1" applyProtection="1">
      <alignment vertical="top" wrapText="1"/>
    </xf>
    <xf numFmtId="0" fontId="19" fillId="0" borderId="58" xfId="2617" applyFont="1" applyBorder="1" applyAlignment="1">
      <alignment wrapText="1"/>
    </xf>
    <xf numFmtId="49" fontId="10" fillId="0" borderId="4" xfId="2621" applyNumberFormat="1" applyFont="1" applyBorder="1" applyAlignment="1">
      <alignment horizontal="center"/>
    </xf>
    <xf numFmtId="49" fontId="10" fillId="0" borderId="4" xfId="2621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wrapText="1"/>
    </xf>
    <xf numFmtId="0" fontId="32" fillId="72" borderId="4" xfId="0" applyFont="1" applyFill="1" applyBorder="1" applyAlignment="1">
      <alignment wrapText="1"/>
    </xf>
    <xf numFmtId="0" fontId="32" fillId="0" borderId="4" xfId="0" applyFont="1" applyBorder="1" applyAlignment="1">
      <alignment wrapText="1"/>
    </xf>
    <xf numFmtId="49" fontId="10" fillId="0" borderId="4" xfId="2621" applyNumberFormat="1" applyFont="1" applyBorder="1"/>
    <xf numFmtId="0" fontId="33" fillId="0" borderId="4" xfId="0" applyFont="1" applyBorder="1" applyAlignment="1">
      <alignment wrapText="1"/>
    </xf>
    <xf numFmtId="49" fontId="11" fillId="0" borderId="4" xfId="2621" applyNumberFormat="1" applyFont="1" applyBorder="1" applyAlignment="1">
      <alignment horizontal="center" vertical="center"/>
    </xf>
    <xf numFmtId="0" fontId="32" fillId="0" borderId="4" xfId="0" applyFont="1" applyFill="1" applyBorder="1" applyAlignment="1">
      <alignment wrapText="1"/>
    </xf>
    <xf numFmtId="0" fontId="10" fillId="0" borderId="4" xfId="0" applyFont="1" applyBorder="1" applyAlignment="1">
      <alignment horizontal="center" wrapText="1"/>
    </xf>
    <xf numFmtId="169" fontId="32" fillId="72" borderId="4" xfId="2664" applyNumberFormat="1" applyFont="1" applyFill="1" applyBorder="1" applyAlignment="1">
      <alignment horizontal="center"/>
    </xf>
    <xf numFmtId="0" fontId="32" fillId="0" borderId="4" xfId="0" applyFont="1" applyBorder="1" applyAlignment="1">
      <alignment horizontal="center" wrapText="1"/>
    </xf>
    <xf numFmtId="0" fontId="32" fillId="0" borderId="4" xfId="0" applyFont="1" applyBorder="1" applyAlignment="1">
      <alignment horizontal="center"/>
    </xf>
    <xf numFmtId="3" fontId="32" fillId="0" borderId="4" xfId="0" applyNumberFormat="1" applyFont="1" applyBorder="1" applyAlignment="1">
      <alignment horizontal="center"/>
    </xf>
    <xf numFmtId="0" fontId="11" fillId="0" borderId="0" xfId="2621" applyFont="1" applyAlignment="1">
      <alignment horizontal="left" wrapText="1"/>
    </xf>
    <xf numFmtId="0" fontId="35" fillId="0" borderId="0" xfId="0" applyFont="1" applyAlignment="1">
      <alignment horizontal="center" wrapText="1"/>
    </xf>
    <xf numFmtId="0" fontId="29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29" fillId="0" borderId="0" xfId="0" applyFont="1" applyAlignment="1">
      <alignment horizontal="right"/>
    </xf>
    <xf numFmtId="0" fontId="0" fillId="0" borderId="0" xfId="0" applyBorder="1"/>
    <xf numFmtId="0" fontId="30" fillId="0" borderId="0" xfId="0" applyFont="1" applyAlignment="1">
      <alignment wrapText="1"/>
    </xf>
    <xf numFmtId="0" fontId="29" fillId="0" borderId="19" xfId="0" applyFont="1" applyBorder="1" applyAlignment="1">
      <alignment horizontal="justify" vertical="top" wrapText="1"/>
    </xf>
    <xf numFmtId="0" fontId="29" fillId="0" borderId="59" xfId="0" applyFont="1" applyBorder="1" applyAlignment="1">
      <alignment horizontal="justify" vertical="top" wrapText="1"/>
    </xf>
    <xf numFmtId="0" fontId="29" fillId="0" borderId="60" xfId="0" applyFont="1" applyBorder="1" applyAlignment="1">
      <alignment horizontal="justify" vertical="top" wrapText="1"/>
    </xf>
    <xf numFmtId="0" fontId="29" fillId="0" borderId="60" xfId="0" applyFont="1" applyBorder="1" applyAlignment="1">
      <alignment horizontal="center" vertical="top" wrapText="1"/>
    </xf>
    <xf numFmtId="0" fontId="35" fillId="0" borderId="59" xfId="0" applyFont="1" applyBorder="1" applyAlignment="1">
      <alignment horizontal="justify" vertical="top" wrapText="1"/>
    </xf>
    <xf numFmtId="0" fontId="40" fillId="0" borderId="59" xfId="0" applyFont="1" applyBorder="1" applyAlignment="1">
      <alignment horizontal="justify" vertical="top" wrapText="1"/>
    </xf>
    <xf numFmtId="0" fontId="29" fillId="0" borderId="0" xfId="0" applyFont="1"/>
    <xf numFmtId="0" fontId="0" fillId="0" borderId="0" xfId="0" applyAlignment="1"/>
    <xf numFmtId="0" fontId="35" fillId="0" borderId="61" xfId="0" applyFont="1" applyBorder="1" applyAlignment="1">
      <alignment horizontal="justify" vertical="top" wrapText="1"/>
    </xf>
    <xf numFmtId="0" fontId="35" fillId="0" borderId="62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/>
    </xf>
    <xf numFmtId="0" fontId="29" fillId="0" borderId="0" xfId="0" applyFont="1" applyBorder="1"/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0" fontId="35" fillId="0" borderId="0" xfId="0" applyFont="1" applyBorder="1" applyAlignment="1">
      <alignment horizontal="justify" vertical="top" wrapText="1"/>
    </xf>
    <xf numFmtId="0" fontId="29" fillId="0" borderId="0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justify" vertical="top" wrapText="1"/>
    </xf>
    <xf numFmtId="0" fontId="29" fillId="0" borderId="63" xfId="0" applyFont="1" applyBorder="1" applyAlignment="1">
      <alignment horizontal="justify" vertical="top" wrapText="1"/>
    </xf>
    <xf numFmtId="0" fontId="29" fillId="0" borderId="4" xfId="0" applyFont="1" applyBorder="1" applyAlignment="1">
      <alignment wrapText="1"/>
    </xf>
    <xf numFmtId="0" fontId="29" fillId="0" borderId="4" xfId="0" applyFont="1" applyBorder="1"/>
    <xf numFmtId="0" fontId="0" fillId="0" borderId="4" xfId="0" applyBorder="1"/>
    <xf numFmtId="0" fontId="35" fillId="0" borderId="4" xfId="0" applyFont="1" applyBorder="1" applyAlignment="1">
      <alignment horizontal="center" vertical="top" wrapText="1"/>
    </xf>
    <xf numFmtId="0" fontId="35" fillId="0" borderId="4" xfId="0" applyFont="1" applyBorder="1" applyAlignment="1">
      <alignment horizontal="center" vertical="top"/>
    </xf>
    <xf numFmtId="0" fontId="29" fillId="0" borderId="4" xfId="0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left" vertical="center" wrapText="1"/>
    </xf>
    <xf numFmtId="9" fontId="33" fillId="0" borderId="4" xfId="2664" applyFont="1" applyBorder="1" applyAlignment="1" applyProtection="1">
      <alignment horizontal="center" wrapText="1"/>
      <protection locked="0"/>
    </xf>
    <xf numFmtId="0" fontId="10" fillId="0" borderId="4" xfId="0" applyFont="1" applyBorder="1" applyAlignment="1" applyProtection="1">
      <alignment horizontal="center" wrapText="1"/>
      <protection locked="0"/>
    </xf>
    <xf numFmtId="49" fontId="10" fillId="72" borderId="4" xfId="2621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 applyProtection="1">
      <alignment horizontal="center"/>
      <protection locked="0"/>
    </xf>
    <xf numFmtId="169" fontId="32" fillId="0" borderId="4" xfId="2664" applyNumberFormat="1" applyFont="1" applyFill="1" applyBorder="1" applyAlignment="1">
      <alignment horizontal="center"/>
    </xf>
    <xf numFmtId="9" fontId="10" fillId="0" borderId="4" xfId="2664" applyFont="1" applyBorder="1" applyAlignment="1" applyProtection="1">
      <alignment horizontal="center" wrapText="1"/>
      <protection locked="0"/>
    </xf>
    <xf numFmtId="3" fontId="32" fillId="0" borderId="4" xfId="0" applyNumberFormat="1" applyFont="1" applyFill="1" applyBorder="1" applyAlignment="1" applyProtection="1">
      <alignment horizontal="center"/>
      <protection locked="0"/>
    </xf>
    <xf numFmtId="49" fontId="10" fillId="72" borderId="4" xfId="2621" applyNumberFormat="1" applyFont="1" applyFill="1" applyBorder="1" applyAlignment="1">
      <alignment horizontal="center"/>
    </xf>
    <xf numFmtId="3" fontId="32" fillId="0" borderId="4" xfId="0" applyNumberFormat="1" applyFont="1" applyFill="1" applyBorder="1" applyAlignment="1">
      <alignment horizontal="center"/>
    </xf>
    <xf numFmtId="3" fontId="32" fillId="0" borderId="4" xfId="0" applyNumberFormat="1" applyFont="1" applyBorder="1" applyAlignment="1" applyProtection="1">
      <alignment horizontal="center" wrapText="1"/>
      <protection locked="0"/>
    </xf>
    <xf numFmtId="3" fontId="10" fillId="0" borderId="4" xfId="0" applyNumberFormat="1" applyFont="1" applyBorder="1" applyAlignment="1" applyProtection="1">
      <alignment horizontal="center" wrapText="1"/>
      <protection locked="0"/>
    </xf>
    <xf numFmtId="2" fontId="10" fillId="0" borderId="4" xfId="0" applyNumberFormat="1" applyFont="1" applyBorder="1" applyAlignment="1" applyProtection="1">
      <alignment horizontal="center" wrapText="1"/>
      <protection locked="0"/>
    </xf>
    <xf numFmtId="4" fontId="32" fillId="0" borderId="4" xfId="0" applyNumberFormat="1" applyFont="1" applyFill="1" applyBorder="1" applyAlignment="1" applyProtection="1">
      <alignment horizontal="center" wrapText="1"/>
      <protection locked="0"/>
    </xf>
    <xf numFmtId="0" fontId="11" fillId="0" borderId="4" xfId="0" applyFont="1" applyBorder="1" applyAlignment="1">
      <alignment wrapText="1"/>
    </xf>
    <xf numFmtId="0" fontId="19" fillId="0" borderId="57" xfId="2620" applyBorder="1" applyAlignment="1">
      <alignment horizontal="center"/>
    </xf>
    <xf numFmtId="0" fontId="8" fillId="3" borderId="27" xfId="2620" applyFont="1" applyFill="1" applyBorder="1" applyAlignment="1" applyProtection="1">
      <alignment horizontal="center" vertical="center" wrapText="1"/>
      <protection locked="0"/>
    </xf>
    <xf numFmtId="0" fontId="8" fillId="0" borderId="55" xfId="2620" applyFont="1" applyBorder="1" applyAlignment="1">
      <alignment horizontal="center" vertical="center" wrapText="1"/>
    </xf>
    <xf numFmtId="0" fontId="19" fillId="0" borderId="4" xfId="2620" applyBorder="1"/>
    <xf numFmtId="0" fontId="19" fillId="0" borderId="58" xfId="2620" applyFont="1" applyBorder="1" applyAlignment="1">
      <alignment horizontal="center"/>
    </xf>
    <xf numFmtId="0" fontId="46" fillId="0" borderId="0" xfId="2620" applyFont="1"/>
    <xf numFmtId="0" fontId="8" fillId="3" borderId="56" xfId="2620" applyFont="1" applyFill="1" applyBorder="1" applyAlignment="1" applyProtection="1">
      <alignment horizontal="center" vertical="center" wrapText="1"/>
      <protection locked="0"/>
    </xf>
    <xf numFmtId="0" fontId="19" fillId="0" borderId="43" xfId="2620" applyBorder="1" applyAlignment="1">
      <alignment horizontal="center"/>
    </xf>
    <xf numFmtId="0" fontId="19" fillId="0" borderId="27" xfId="2620" applyBorder="1"/>
    <xf numFmtId="0" fontId="8" fillId="0" borderId="64" xfId="2620" applyFont="1" applyBorder="1" applyAlignment="1">
      <alignment horizontal="center" vertical="center" wrapText="1"/>
    </xf>
    <xf numFmtId="0" fontId="8" fillId="0" borderId="65" xfId="2620" applyFont="1" applyBorder="1" applyAlignment="1">
      <alignment horizontal="center" vertical="center" wrapText="1"/>
    </xf>
    <xf numFmtId="0" fontId="19" fillId="0" borderId="36" xfId="2620" applyFont="1" applyBorder="1" applyAlignment="1">
      <alignment horizontal="center"/>
    </xf>
    <xf numFmtId="0" fontId="19" fillId="0" borderId="40" xfId="2620" applyBorder="1"/>
    <xf numFmtId="0" fontId="15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4" xfId="0" applyFont="1" applyBorder="1" applyProtection="1">
      <protection locked="0"/>
    </xf>
    <xf numFmtId="169" fontId="48" fillId="0" borderId="0" xfId="604" applyNumberFormat="1" applyFont="1" applyFill="1" applyBorder="1" applyAlignment="1" applyProtection="1">
      <alignment horizontal="center"/>
      <protection locked="0"/>
    </xf>
    <xf numFmtId="4" fontId="32" fillId="81" borderId="4" xfId="0" applyNumberFormat="1" applyFont="1" applyFill="1" applyBorder="1" applyAlignment="1">
      <alignment horizontal="center" wrapText="1"/>
    </xf>
    <xf numFmtId="0" fontId="32" fillId="81" borderId="4" xfId="0" applyFont="1" applyFill="1" applyBorder="1" applyAlignment="1">
      <alignment wrapText="1"/>
    </xf>
    <xf numFmtId="0" fontId="11" fillId="0" borderId="4" xfId="0" applyFont="1" applyBorder="1"/>
    <xf numFmtId="0" fontId="35" fillId="0" borderId="0" xfId="0" applyFont="1" applyAlignment="1">
      <alignment horizontal="center"/>
    </xf>
    <xf numFmtId="0" fontId="35" fillId="0" borderId="0" xfId="0" applyFont="1" applyBorder="1" applyAlignment="1" applyProtection="1">
      <alignment horizontal="center" vertical="center" wrapText="1"/>
      <protection locked="0"/>
    </xf>
    <xf numFmtId="0" fontId="35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right"/>
      <protection locked="0"/>
    </xf>
    <xf numFmtId="0" fontId="35" fillId="0" borderId="66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0" fillId="0" borderId="44" xfId="0" applyFont="1" applyBorder="1" applyAlignment="1" applyProtection="1">
      <alignment horizontal="left" vertical="center" wrapText="1" shrinkToFit="1"/>
    </xf>
    <xf numFmtId="0" fontId="35" fillId="0" borderId="0" xfId="0" applyFont="1" applyAlignment="1">
      <alignment horizontal="center" vertical="center" wrapText="1"/>
    </xf>
    <xf numFmtId="9" fontId="33" fillId="52" borderId="4" xfId="2664" applyFont="1" applyFill="1" applyBorder="1" applyAlignment="1" applyProtection="1">
      <alignment horizontal="center"/>
      <protection locked="0"/>
    </xf>
    <xf numFmtId="0" fontId="10" fillId="52" borderId="4" xfId="0" applyFont="1" applyFill="1" applyBorder="1" applyAlignment="1" applyProtection="1">
      <alignment horizontal="center"/>
      <protection locked="0"/>
    </xf>
    <xf numFmtId="3" fontId="32" fillId="52" borderId="4" xfId="0" applyNumberFormat="1" applyFont="1" applyFill="1" applyBorder="1" applyAlignment="1" applyProtection="1">
      <alignment horizontal="center" wrapText="1"/>
      <protection locked="0"/>
    </xf>
    <xf numFmtId="3" fontId="32" fillId="52" borderId="4" xfId="0" applyNumberFormat="1" applyFont="1" applyFill="1" applyBorder="1" applyAlignment="1" applyProtection="1">
      <alignment horizontal="center"/>
      <protection locked="0"/>
    </xf>
    <xf numFmtId="3" fontId="33" fillId="0" borderId="4" xfId="0" applyNumberFormat="1" applyFont="1" applyFill="1" applyBorder="1" applyAlignment="1">
      <alignment horizontal="center" wrapText="1"/>
    </xf>
    <xf numFmtId="0" fontId="10" fillId="72" borderId="4" xfId="0" applyFont="1" applyFill="1" applyBorder="1" applyAlignment="1">
      <alignment horizontal="center" wrapText="1"/>
    </xf>
    <xf numFmtId="0" fontId="10" fillId="72" borderId="4" xfId="0" applyFont="1" applyFill="1" applyBorder="1" applyAlignment="1">
      <alignment horizontal="center" vertical="center" wrapText="1"/>
    </xf>
    <xf numFmtId="0" fontId="11" fillId="72" borderId="4" xfId="0" applyFont="1" applyFill="1" applyBorder="1" applyAlignment="1">
      <alignment horizontal="center" wrapText="1"/>
    </xf>
    <xf numFmtId="3" fontId="32" fillId="72" borderId="4" xfId="0" applyNumberFormat="1" applyFont="1" applyFill="1" applyBorder="1" applyAlignment="1" applyProtection="1">
      <alignment horizontal="center" wrapText="1"/>
      <protection locked="0"/>
    </xf>
    <xf numFmtId="0" fontId="10" fillId="72" borderId="4" xfId="0" applyFont="1" applyFill="1" applyBorder="1" applyAlignment="1" applyProtection="1">
      <alignment horizontal="center" wrapText="1"/>
      <protection locked="0"/>
    </xf>
    <xf numFmtId="3" fontId="10" fillId="52" borderId="4" xfId="0" applyNumberFormat="1" applyFont="1" applyFill="1" applyBorder="1" applyAlignment="1" applyProtection="1">
      <alignment horizontal="center" wrapText="1"/>
      <protection locked="0"/>
    </xf>
    <xf numFmtId="3" fontId="10" fillId="72" borderId="4" xfId="0" applyNumberFormat="1" applyFont="1" applyFill="1" applyBorder="1" applyAlignment="1" applyProtection="1">
      <alignment horizontal="center" wrapText="1"/>
      <protection locked="0"/>
    </xf>
    <xf numFmtId="4" fontId="10" fillId="52" borderId="4" xfId="0" applyNumberFormat="1" applyFont="1" applyFill="1" applyBorder="1" applyAlignment="1" applyProtection="1">
      <alignment horizontal="center" wrapText="1"/>
      <protection locked="0"/>
    </xf>
    <xf numFmtId="4" fontId="10" fillId="52" borderId="4" xfId="0" applyNumberFormat="1" applyFont="1" applyFill="1" applyBorder="1" applyAlignment="1" applyProtection="1">
      <alignment horizontal="center"/>
      <protection locked="0"/>
    </xf>
    <xf numFmtId="171" fontId="10" fillId="52" borderId="4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wrapText="1"/>
    </xf>
    <xf numFmtId="4" fontId="10" fillId="2" borderId="4" xfId="0" applyNumberFormat="1" applyFont="1" applyFill="1" applyBorder="1" applyAlignment="1" applyProtection="1">
      <alignment horizontal="center" wrapText="1"/>
      <protection locked="0"/>
    </xf>
    <xf numFmtId="0" fontId="32" fillId="2" borderId="4" xfId="0" applyFont="1" applyFill="1" applyBorder="1" applyAlignment="1">
      <alignment wrapText="1"/>
    </xf>
    <xf numFmtId="3" fontId="32" fillId="2" borderId="4" xfId="0" applyNumberFormat="1" applyFont="1" applyFill="1" applyBorder="1" applyAlignment="1" applyProtection="1">
      <alignment horizontal="center" wrapText="1"/>
      <protection locked="0"/>
    </xf>
    <xf numFmtId="3" fontId="32" fillId="2" borderId="4" xfId="0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3" fontId="33" fillId="2" borderId="4" xfId="0" applyNumberFormat="1" applyFont="1" applyFill="1" applyBorder="1" applyAlignment="1" applyProtection="1">
      <alignment horizontal="center" wrapText="1"/>
      <protection locked="0"/>
    </xf>
    <xf numFmtId="3" fontId="33" fillId="2" borderId="4" xfId="0" applyNumberFormat="1" applyFont="1" applyFill="1" applyBorder="1" applyAlignment="1">
      <alignment horizontal="center" wrapText="1"/>
    </xf>
    <xf numFmtId="4" fontId="32" fillId="81" borderId="4" xfId="0" applyNumberFormat="1" applyFont="1" applyFill="1" applyBorder="1" applyAlignment="1" applyProtection="1">
      <alignment horizontal="center" wrapText="1"/>
      <protection locked="0"/>
    </xf>
    <xf numFmtId="4" fontId="32" fillId="72" borderId="4" xfId="0" applyNumberFormat="1" applyFont="1" applyFill="1" applyBorder="1" applyAlignment="1">
      <alignment horizontal="center" wrapText="1"/>
    </xf>
    <xf numFmtId="0" fontId="10" fillId="81" borderId="4" xfId="0" applyFont="1" applyFill="1" applyBorder="1" applyAlignment="1">
      <alignment horizontal="left" vertical="top" wrapText="1"/>
    </xf>
    <xf numFmtId="0" fontId="10" fillId="72" borderId="4" xfId="0" applyFont="1" applyFill="1" applyBorder="1" applyAlignment="1">
      <alignment horizontal="center"/>
    </xf>
    <xf numFmtId="0" fontId="10" fillId="72" borderId="4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9" fontId="10" fillId="52" borderId="4" xfId="2664" applyFont="1" applyFill="1" applyBorder="1" applyAlignment="1" applyProtection="1">
      <alignment horizontal="center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0" fontId="10" fillId="0" borderId="4" xfId="0" applyFont="1" applyBorder="1" applyAlignment="1" applyProtection="1">
      <alignment horizontal="center" vertical="center" wrapText="1" shrinkToFit="1"/>
    </xf>
    <xf numFmtId="0" fontId="10" fillId="0" borderId="4" xfId="0" applyFont="1" applyFill="1" applyBorder="1" applyAlignment="1" applyProtection="1">
      <alignment horizontal="center" vertical="center" wrapText="1" shrinkToFit="1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 indent="2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4" fontId="15" fillId="52" borderId="4" xfId="0" applyNumberFormat="1" applyFont="1" applyFill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 hidden="1"/>
    </xf>
    <xf numFmtId="171" fontId="15" fillId="0" borderId="4" xfId="0" applyNumberFormat="1" applyFont="1" applyFill="1" applyBorder="1" applyAlignment="1" applyProtection="1">
      <alignment horizontal="center"/>
      <protection locked="0"/>
    </xf>
    <xf numFmtId="170" fontId="15" fillId="0" borderId="4" xfId="0" applyNumberFormat="1" applyFont="1" applyBorder="1" applyAlignment="1" applyProtection="1">
      <alignment horizontal="center"/>
      <protection locked="0"/>
    </xf>
    <xf numFmtId="170" fontId="15" fillId="0" borderId="4" xfId="0" applyNumberFormat="1" applyFont="1" applyFill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left" vertical="center" wrapText="1" indent="1"/>
      <protection locked="0"/>
    </xf>
    <xf numFmtId="0" fontId="10" fillId="52" borderId="4" xfId="0" applyFont="1" applyFill="1" applyBorder="1" applyProtection="1">
      <protection locked="0"/>
    </xf>
    <xf numFmtId="9" fontId="10" fillId="52" borderId="4" xfId="2664" applyFont="1" applyFill="1" applyBorder="1" applyProtection="1">
      <protection locked="0"/>
    </xf>
    <xf numFmtId="0" fontId="10" fillId="52" borderId="67" xfId="0" applyFont="1" applyFill="1" applyBorder="1" applyAlignment="1" applyProtection="1">
      <alignment horizontal="center" vertical="center"/>
      <protection locked="0"/>
    </xf>
    <xf numFmtId="0" fontId="10" fillId="52" borderId="48" xfId="0" applyFont="1" applyFill="1" applyBorder="1" applyAlignment="1" applyProtection="1">
      <alignment horizontal="center" vertical="center"/>
      <protection locked="0"/>
    </xf>
    <xf numFmtId="0" fontId="10" fillId="52" borderId="2" xfId="0" applyFont="1" applyFill="1" applyBorder="1" applyAlignment="1" applyProtection="1">
      <alignment horizontal="center" vertical="center"/>
      <protection locked="0"/>
    </xf>
    <xf numFmtId="0" fontId="10" fillId="52" borderId="46" xfId="0" applyFont="1" applyFill="1" applyBorder="1" applyAlignment="1" applyProtection="1">
      <alignment horizontal="center" vertical="center"/>
      <protection locked="0"/>
    </xf>
    <xf numFmtId="0" fontId="11" fillId="52" borderId="4" xfId="0" applyFont="1" applyFill="1" applyBorder="1" applyAlignment="1" applyProtection="1">
      <alignment horizontal="center" vertical="center" wrapText="1" shrinkToFit="1"/>
    </xf>
    <xf numFmtId="0" fontId="11" fillId="52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Alignment="1" applyProtection="1">
      <protection locked="0"/>
    </xf>
    <xf numFmtId="0" fontId="19" fillId="0" borderId="0" xfId="2617" applyFont="1"/>
    <xf numFmtId="0" fontId="11" fillId="0" borderId="0" xfId="652" applyFont="1" applyFill="1" applyBorder="1" applyProtection="1">
      <alignment horizontal="center" vertical="center" wrapText="1"/>
      <protection locked="0"/>
    </xf>
    <xf numFmtId="169" fontId="10" fillId="3" borderId="4" xfId="0" applyNumberFormat="1" applyFont="1" applyFill="1" applyBorder="1" applyProtection="1">
      <protection locked="0"/>
    </xf>
    <xf numFmtId="169" fontId="10" fillId="57" borderId="4" xfId="0" applyNumberFormat="1" applyFont="1" applyFill="1" applyBorder="1" applyProtection="1">
      <protection locked="0"/>
    </xf>
    <xf numFmtId="169" fontId="10" fillId="0" borderId="0" xfId="0" applyNumberFormat="1" applyFont="1" applyFill="1" applyBorder="1" applyProtection="1">
      <protection locked="0"/>
    </xf>
    <xf numFmtId="169" fontId="10" fillId="0" borderId="0" xfId="604" applyNumberFormat="1" applyFont="1" applyFill="1" applyBorder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11" fillId="0" borderId="4" xfId="652" applyFont="1" applyBorder="1" applyProtection="1">
      <alignment horizontal="center" vertical="center" wrapText="1"/>
      <protection locked="0"/>
    </xf>
    <xf numFmtId="0" fontId="19" fillId="0" borderId="0" xfId="2617" applyFont="1" applyFill="1" applyBorder="1"/>
    <xf numFmtId="0" fontId="10" fillId="0" borderId="4" xfId="0" applyFont="1" applyBorder="1" applyAlignment="1" applyProtection="1">
      <alignment wrapText="1"/>
      <protection locked="0"/>
    </xf>
    <xf numFmtId="169" fontId="10" fillId="0" borderId="0" xfId="0" applyNumberFormat="1" applyFont="1" applyFill="1" applyBorder="1" applyAlignment="1" applyProtection="1">
      <protection locked="0"/>
    </xf>
    <xf numFmtId="0" fontId="19" fillId="0" borderId="0" xfId="2617" applyFont="1" applyAlignment="1">
      <alignment wrapText="1"/>
    </xf>
    <xf numFmtId="169" fontId="10" fillId="3" borderId="4" xfId="0" applyNumberFormat="1" applyFont="1" applyFill="1" applyBorder="1" applyProtection="1"/>
    <xf numFmtId="169" fontId="18" fillId="72" borderId="0" xfId="604" applyNumberFormat="1" applyFont="1" applyFill="1" applyBorder="1" applyAlignment="1" applyProtection="1">
      <alignment horizontal="center"/>
      <protection locked="0"/>
    </xf>
    <xf numFmtId="0" fontId="11" fillId="72" borderId="0" xfId="652" applyFont="1" applyFill="1" applyBorder="1" applyProtection="1">
      <alignment horizontal="center" vertical="center" wrapText="1"/>
      <protection locked="0"/>
    </xf>
    <xf numFmtId="169" fontId="10" fillId="72" borderId="0" xfId="0" applyNumberFormat="1" applyFont="1" applyFill="1" applyBorder="1" applyProtection="1">
      <protection locked="0"/>
    </xf>
    <xf numFmtId="169" fontId="10" fillId="72" borderId="0" xfId="604" applyNumberFormat="1" applyFont="1" applyFill="1" applyBorder="1" applyAlignment="1" applyProtection="1">
      <alignment horizontal="right"/>
      <protection locked="0"/>
    </xf>
    <xf numFmtId="0" fontId="10" fillId="72" borderId="0" xfId="0" applyFont="1" applyFill="1" applyBorder="1" applyProtection="1">
      <protection locked="0"/>
    </xf>
    <xf numFmtId="169" fontId="10" fillId="72" borderId="0" xfId="0" applyNumberFormat="1" applyFont="1" applyFill="1" applyBorder="1" applyProtection="1"/>
    <xf numFmtId="0" fontId="19" fillId="72" borderId="0" xfId="2617" applyFill="1" applyBorder="1"/>
    <xf numFmtId="169" fontId="10" fillId="3" borderId="4" xfId="604" applyNumberFormat="1" applyFont="1" applyFill="1" applyBorder="1" applyAlignment="1" applyProtection="1">
      <alignment horizontal="right"/>
      <protection locked="0"/>
    </xf>
    <xf numFmtId="0" fontId="51" fillId="0" borderId="4" xfId="652" applyFont="1" applyBorder="1" applyProtection="1">
      <alignment horizontal="center" vertical="center" wrapText="1"/>
      <protection locked="0"/>
    </xf>
    <xf numFmtId="169" fontId="18" fillId="72" borderId="4" xfId="604" applyNumberFormat="1" applyFont="1" applyFill="1" applyBorder="1" applyAlignment="1" applyProtection="1">
      <alignment horizontal="center"/>
      <protection locked="0"/>
    </xf>
    <xf numFmtId="169" fontId="10" fillId="72" borderId="4" xfId="0" applyNumberFormat="1" applyFont="1" applyFill="1" applyBorder="1" applyProtection="1">
      <protection locked="0"/>
    </xf>
    <xf numFmtId="3" fontId="11" fillId="72" borderId="4" xfId="0" applyNumberFormat="1" applyFont="1" applyFill="1" applyBorder="1" applyAlignment="1" applyProtection="1">
      <alignment horizontal="center" wrapText="1"/>
      <protection locked="0"/>
    </xf>
    <xf numFmtId="3" fontId="32" fillId="72" borderId="4" xfId="0" applyNumberFormat="1" applyFont="1" applyFill="1" applyBorder="1" applyAlignment="1" applyProtection="1">
      <alignment horizontal="center"/>
    </xf>
    <xf numFmtId="171" fontId="11" fillId="72" borderId="4" xfId="0" applyNumberFormat="1" applyFont="1" applyFill="1" applyBorder="1" applyAlignment="1" applyProtection="1">
      <alignment horizontal="center" wrapText="1"/>
      <protection locked="0"/>
    </xf>
    <xf numFmtId="3" fontId="32" fillId="73" borderId="4" xfId="0" applyNumberFormat="1" applyFont="1" applyFill="1" applyBorder="1" applyAlignment="1" applyProtection="1">
      <alignment horizontal="center"/>
    </xf>
    <xf numFmtId="0" fontId="10" fillId="0" borderId="26" xfId="0" applyFont="1" applyBorder="1" applyProtection="1"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49" fontId="11" fillId="0" borderId="4" xfId="0" applyNumberFormat="1" applyFont="1" applyBorder="1" applyAlignment="1" applyProtection="1">
      <alignment wrapText="1"/>
      <protection locked="0"/>
    </xf>
    <xf numFmtId="0" fontId="10" fillId="72" borderId="4" xfId="0" applyFont="1" applyFill="1" applyBorder="1" applyProtection="1">
      <protection locked="0"/>
    </xf>
    <xf numFmtId="0" fontId="48" fillId="72" borderId="4" xfId="604" applyFont="1" applyFill="1" applyBorder="1" applyAlignment="1" applyProtection="1">
      <alignment horizontal="center"/>
      <protection locked="0"/>
    </xf>
    <xf numFmtId="0" fontId="10" fillId="0" borderId="4" xfId="604" applyFont="1" applyFill="1" applyBorder="1" applyAlignment="1" applyProtection="1">
      <alignment horizontal="center"/>
      <protection locked="0"/>
    </xf>
    <xf numFmtId="0" fontId="10" fillId="0" borderId="4" xfId="604" applyFont="1" applyFill="1" applyBorder="1" applyAlignment="1" applyProtection="1">
      <alignment horizontal="left"/>
      <protection locked="0"/>
    </xf>
    <xf numFmtId="0" fontId="10" fillId="0" borderId="27" xfId="0" applyFont="1" applyBorder="1" applyProtection="1"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604" applyFont="1" applyFill="1" applyBorder="1" applyAlignment="1" applyProtection="1">
      <alignment horizontal="center" wrapText="1"/>
      <protection locked="0"/>
    </xf>
    <xf numFmtId="0" fontId="10" fillId="0" borderId="4" xfId="604" applyFont="1" applyFill="1" applyBorder="1" applyAlignment="1" applyProtection="1">
      <alignment horizontal="left" wrapText="1"/>
      <protection locked="0"/>
    </xf>
    <xf numFmtId="0" fontId="11" fillId="52" borderId="4" xfId="0" applyFont="1" applyFill="1" applyBorder="1" applyAlignment="1" applyProtection="1">
      <alignment horizontal="center" wrapText="1"/>
      <protection locked="0"/>
    </xf>
    <xf numFmtId="173" fontId="11" fillId="52" borderId="4" xfId="0" applyNumberFormat="1" applyFont="1" applyFill="1" applyBorder="1" applyAlignment="1" applyProtection="1">
      <alignment horizontal="center" wrapText="1"/>
      <protection locked="0"/>
    </xf>
    <xf numFmtId="166" fontId="11" fillId="52" borderId="4" xfId="0" applyNumberFormat="1" applyFont="1" applyFill="1" applyBorder="1" applyAlignment="1" applyProtection="1">
      <alignment horizontal="center"/>
      <protection locked="0"/>
    </xf>
    <xf numFmtId="171" fontId="11" fillId="52" borderId="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center" vertical="center" wrapText="1" shrinkToFit="1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/>
    </xf>
    <xf numFmtId="0" fontId="10" fillId="0" borderId="0" xfId="0" applyFont="1" applyAlignment="1" applyProtection="1">
      <alignment horizontal="center" vertical="center"/>
      <protection locked="0"/>
    </xf>
    <xf numFmtId="0" fontId="39" fillId="0" borderId="0" xfId="0" applyFont="1"/>
    <xf numFmtId="0" fontId="52" fillId="0" borderId="0" xfId="0" applyFont="1" applyAlignment="1">
      <alignment horizontal="center" vertical="center" wrapText="1"/>
    </xf>
    <xf numFmtId="0" fontId="10" fillId="0" borderId="0" xfId="0" applyFont="1" applyBorder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" fontId="10" fillId="52" borderId="4" xfId="0" applyNumberFormat="1" applyFont="1" applyFill="1" applyBorder="1" applyAlignment="1" applyProtection="1">
      <alignment horizontal="center" vertical="center"/>
    </xf>
    <xf numFmtId="4" fontId="10" fillId="72" borderId="4" xfId="0" applyNumberFormat="1" applyFont="1" applyFill="1" applyBorder="1" applyAlignment="1" applyProtection="1">
      <alignment horizontal="center" vertical="center"/>
    </xf>
    <xf numFmtId="4" fontId="10" fillId="72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left" vertical="center" wrapText="1" shrinkToFit="1"/>
    </xf>
    <xf numFmtId="49" fontId="10" fillId="0" borderId="4" xfId="0" applyNumberFormat="1" applyFont="1" applyBorder="1" applyAlignment="1" applyProtection="1">
      <alignment horizontal="center" vertical="center" wrapText="1" shrinkToFit="1"/>
    </xf>
    <xf numFmtId="0" fontId="11" fillId="0" borderId="4" xfId="0" applyFont="1" applyFill="1" applyBorder="1" applyAlignment="1" applyProtection="1">
      <alignment horizontal="left" vertical="center" wrapText="1" shrinkToFit="1"/>
    </xf>
    <xf numFmtId="4" fontId="11" fillId="72" borderId="4" xfId="0" applyNumberFormat="1" applyFont="1" applyFill="1" applyBorder="1" applyAlignment="1" applyProtection="1">
      <alignment horizontal="center" vertical="center"/>
    </xf>
    <xf numFmtId="0" fontId="11" fillId="0" borderId="4" xfId="2619" applyFont="1" applyFill="1" applyBorder="1" applyAlignment="1">
      <alignment horizontal="center" vertical="center" wrapText="1"/>
    </xf>
    <xf numFmtId="0" fontId="52" fillId="0" borderId="4" xfId="2619" applyFont="1" applyFill="1" applyBorder="1" applyAlignment="1">
      <alignment horizontal="center" vertical="center" wrapText="1"/>
    </xf>
    <xf numFmtId="0" fontId="11" fillId="3" borderId="4" xfId="2619" applyFont="1" applyFill="1" applyBorder="1" applyAlignment="1">
      <alignment vertical="center" wrapText="1"/>
    </xf>
    <xf numFmtId="0" fontId="10" fillId="0" borderId="4" xfId="2619" applyFont="1" applyFill="1" applyBorder="1"/>
    <xf numFmtId="4" fontId="10" fillId="73" borderId="4" xfId="2619" applyNumberFormat="1" applyFont="1" applyFill="1" applyBorder="1" applyAlignment="1" applyProtection="1">
      <alignment horizontal="right" vertical="center"/>
      <protection locked="0"/>
    </xf>
    <xf numFmtId="4" fontId="10" fillId="73" borderId="4" xfId="2619" applyNumberFormat="1" applyFont="1" applyFill="1" applyBorder="1" applyAlignment="1" applyProtection="1">
      <alignment horizontal="right" vertical="center" wrapText="1"/>
      <protection locked="0"/>
    </xf>
    <xf numFmtId="4" fontId="10" fillId="0" borderId="4" xfId="2619" applyNumberFormat="1" applyFont="1" applyFill="1" applyBorder="1" applyAlignment="1">
      <alignment horizontal="right" vertical="center" wrapText="1"/>
    </xf>
    <xf numFmtId="4" fontId="10" fillId="0" borderId="4" xfId="2619" applyNumberFormat="1" applyFont="1" applyFill="1" applyBorder="1" applyAlignment="1">
      <alignment horizontal="center" vertical="center"/>
    </xf>
    <xf numFmtId="0" fontId="11" fillId="0" borderId="4" xfId="2619" applyFont="1" applyFill="1" applyBorder="1"/>
    <xf numFmtId="4" fontId="11" fillId="0" borderId="4" xfId="2619" applyNumberFormat="1" applyFont="1" applyFill="1" applyBorder="1" applyAlignment="1">
      <alignment horizontal="right" vertical="center"/>
    </xf>
    <xf numFmtId="170" fontId="11" fillId="0" borderId="4" xfId="2619" applyNumberFormat="1" applyFont="1" applyFill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 wrapText="1" shrinkToFit="1"/>
    </xf>
    <xf numFmtId="0" fontId="12" fillId="0" borderId="4" xfId="0" applyFont="1" applyFill="1" applyBorder="1" applyAlignment="1" applyProtection="1">
      <alignment horizontal="center" vertical="center" wrapText="1" shrinkToFit="1"/>
    </xf>
    <xf numFmtId="0" fontId="12" fillId="0" borderId="4" xfId="0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left" vertical="center" wrapText="1" shrinkToFit="1"/>
    </xf>
    <xf numFmtId="11" fontId="10" fillId="0" borderId="4" xfId="0" applyNumberFormat="1" applyFont="1" applyBorder="1" applyAlignment="1" applyProtection="1">
      <alignment horizontal="left" vertical="center" wrapText="1" shrinkToFit="1"/>
    </xf>
    <xf numFmtId="4" fontId="10" fillId="52" borderId="4" xfId="0" applyNumberFormat="1" applyFont="1" applyFill="1" applyBorder="1" applyAlignment="1" applyProtection="1">
      <alignment horizontal="center" vertical="center"/>
      <protection locked="0"/>
    </xf>
    <xf numFmtId="10" fontId="10" fillId="72" borderId="4" xfId="2619" applyNumberFormat="1" applyFont="1" applyFill="1" applyBorder="1" applyAlignment="1" applyProtection="1">
      <alignment horizontal="center" vertical="center" wrapText="1"/>
    </xf>
    <xf numFmtId="4" fontId="10" fillId="52" borderId="4" xfId="2619" applyNumberFormat="1" applyFont="1" applyFill="1" applyBorder="1" applyAlignment="1" applyProtection="1">
      <alignment horizontal="center" vertical="center"/>
      <protection locked="0"/>
    </xf>
    <xf numFmtId="4" fontId="10" fillId="52" borderId="4" xfId="2619" applyNumberFormat="1" applyFont="1" applyFill="1" applyBorder="1" applyAlignment="1" applyProtection="1">
      <alignment horizontal="center" vertical="center" wrapText="1"/>
      <protection locked="0"/>
    </xf>
    <xf numFmtId="10" fontId="10" fillId="52" borderId="4" xfId="2619" applyNumberFormat="1" applyFont="1" applyFill="1" applyBorder="1" applyAlignment="1" applyProtection="1">
      <alignment horizontal="center" vertical="center" wrapText="1"/>
      <protection locked="0"/>
    </xf>
    <xf numFmtId="2" fontId="10" fillId="52" borderId="4" xfId="0" applyNumberFormat="1" applyFont="1" applyFill="1" applyBorder="1" applyAlignment="1">
      <alignment horizontal="center" vertical="center"/>
    </xf>
    <xf numFmtId="4" fontId="10" fillId="72" borderId="4" xfId="2619" applyNumberFormat="1" applyFont="1" applyFill="1" applyBorder="1" applyAlignment="1" applyProtection="1">
      <alignment horizontal="center" vertical="center"/>
    </xf>
    <xf numFmtId="4" fontId="11" fillId="72" borderId="4" xfId="2619" applyNumberFormat="1" applyFont="1" applyFill="1" applyBorder="1" applyAlignment="1" applyProtection="1">
      <alignment horizontal="center" vertical="center"/>
    </xf>
    <xf numFmtId="4" fontId="11" fillId="72" borderId="4" xfId="2619" applyNumberFormat="1" applyFont="1" applyFill="1" applyBorder="1" applyAlignment="1">
      <alignment horizontal="center" vertical="center"/>
    </xf>
    <xf numFmtId="0" fontId="10" fillId="72" borderId="4" xfId="0" applyFont="1" applyFill="1" applyBorder="1" applyAlignment="1">
      <alignment horizontal="center" vertical="center"/>
    </xf>
    <xf numFmtId="0" fontId="17" fillId="0" borderId="4" xfId="0" applyFont="1" applyBorder="1"/>
    <xf numFmtId="49" fontId="10" fillId="0" borderId="4" xfId="0" applyNumberFormat="1" applyFont="1" applyFill="1" applyBorder="1" applyAlignment="1" applyProtection="1">
      <alignment horizontal="center" vertical="center" wrapText="1" shrinkToFit="1"/>
    </xf>
    <xf numFmtId="49" fontId="10" fillId="0" borderId="4" xfId="0" applyNumberFormat="1" applyFont="1" applyFill="1" applyBorder="1" applyAlignment="1" applyProtection="1">
      <alignment horizontal="left" vertical="center" wrapText="1" shrinkToFit="1"/>
    </xf>
    <xf numFmtId="10" fontId="10" fillId="52" borderId="4" xfId="0" applyNumberFormat="1" applyFont="1" applyFill="1" applyBorder="1" applyAlignment="1" applyProtection="1">
      <alignment horizontal="center" vertical="center"/>
      <protection locked="0"/>
    </xf>
    <xf numFmtId="4" fontId="10" fillId="52" borderId="4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 wrapText="1" shrinkToFit="1"/>
    </xf>
    <xf numFmtId="49" fontId="11" fillId="0" borderId="4" xfId="0" applyNumberFormat="1" applyFont="1" applyFill="1" applyBorder="1" applyAlignment="1" applyProtection="1">
      <alignment horizontal="left" vertical="center" wrapText="1" shrinkToFit="1"/>
    </xf>
    <xf numFmtId="2" fontId="11" fillId="72" borderId="4" xfId="0" applyNumberFormat="1" applyFont="1" applyFill="1" applyBorder="1" applyAlignment="1">
      <alignment horizontal="center" vertical="center"/>
    </xf>
    <xf numFmtId="0" fontId="50" fillId="0" borderId="4" xfId="0" applyFont="1" applyBorder="1"/>
    <xf numFmtId="172" fontId="10" fillId="52" borderId="4" xfId="0" applyNumberFormat="1" applyFont="1" applyFill="1" applyBorder="1" applyAlignment="1" applyProtection="1">
      <alignment horizontal="center" vertical="center"/>
      <protection locked="0"/>
    </xf>
    <xf numFmtId="167" fontId="10" fillId="72" borderId="4" xfId="0" applyNumberFormat="1" applyFont="1" applyFill="1" applyBorder="1" applyAlignment="1" applyProtection="1">
      <alignment horizontal="center" vertical="center"/>
    </xf>
    <xf numFmtId="167" fontId="10" fillId="72" borderId="4" xfId="0" applyNumberFormat="1" applyFont="1" applyFill="1" applyBorder="1" applyAlignment="1" applyProtection="1">
      <alignment horizontal="center" vertical="center"/>
      <protection locked="0"/>
    </xf>
    <xf numFmtId="49" fontId="10" fillId="5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82" borderId="4" xfId="0" applyNumberFormat="1" applyFont="1" applyFill="1" applyBorder="1" applyAlignment="1">
      <alignment horizontal="center" vertical="center" wrapText="1"/>
    </xf>
    <xf numFmtId="1" fontId="10" fillId="82" borderId="4" xfId="0" applyNumberFormat="1" applyFont="1" applyFill="1" applyBorder="1" applyAlignment="1">
      <alignment horizontal="left" vertical="center" wrapText="1"/>
    </xf>
    <xf numFmtId="14" fontId="10" fillId="82" borderId="4" xfId="0" applyNumberFormat="1" applyFont="1" applyFill="1" applyBorder="1" applyAlignment="1">
      <alignment horizontal="left" vertical="center" wrapText="1"/>
    </xf>
    <xf numFmtId="0" fontId="33" fillId="82" borderId="4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vertical="center" wrapText="1"/>
    </xf>
    <xf numFmtId="0" fontId="33" fillId="72" borderId="4" xfId="0" applyFont="1" applyFill="1" applyBorder="1" applyAlignment="1">
      <alignment horizontal="center" vertical="center" wrapText="1"/>
    </xf>
    <xf numFmtId="49" fontId="10" fillId="72" borderId="4" xfId="0" applyNumberFormat="1" applyFont="1" applyFill="1" applyBorder="1" applyAlignment="1">
      <alignment vertical="center" wrapText="1"/>
    </xf>
    <xf numFmtId="49" fontId="10" fillId="52" borderId="4" xfId="0" applyNumberFormat="1" applyFont="1" applyFill="1" applyBorder="1" applyAlignment="1">
      <alignment vertical="center" wrapText="1"/>
    </xf>
    <xf numFmtId="0" fontId="60" fillId="0" borderId="0" xfId="0" applyFont="1"/>
    <xf numFmtId="0" fontId="61" fillId="0" borderId="0" xfId="0" applyFont="1"/>
    <xf numFmtId="49" fontId="36" fillId="72" borderId="4" xfId="0" applyNumberFormat="1" applyFont="1" applyFill="1" applyBorder="1" applyAlignment="1">
      <alignment horizontal="center" vertical="center" wrapText="1"/>
    </xf>
    <xf numFmtId="0" fontId="36" fillId="72" borderId="4" xfId="0" applyFont="1" applyFill="1" applyBorder="1" applyAlignment="1">
      <alignment horizontal="center" vertical="center" wrapText="1"/>
    </xf>
    <xf numFmtId="1" fontId="35" fillId="72" borderId="4" xfId="0" applyNumberFormat="1" applyFont="1" applyFill="1" applyBorder="1" applyAlignment="1">
      <alignment horizontal="left" vertical="center" wrapText="1"/>
    </xf>
    <xf numFmtId="49" fontId="35" fillId="72" borderId="4" xfId="0" applyNumberFormat="1" applyFont="1" applyFill="1" applyBorder="1" applyAlignment="1">
      <alignment vertical="center" wrapText="1"/>
    </xf>
    <xf numFmtId="14" fontId="35" fillId="72" borderId="4" xfId="0" applyNumberFormat="1" applyFont="1" applyFill="1" applyBorder="1" applyAlignment="1">
      <alignment horizontal="left" vertical="center" wrapText="1"/>
    </xf>
    <xf numFmtId="170" fontId="35" fillId="72" borderId="4" xfId="0" applyNumberFormat="1" applyFont="1" applyFill="1" applyBorder="1" applyAlignment="1">
      <alignment vertical="center" wrapText="1"/>
    </xf>
    <xf numFmtId="0" fontId="34" fillId="0" borderId="68" xfId="0" applyNumberFormat="1" applyFont="1" applyBorder="1" applyAlignment="1">
      <alignment horizontal="center" vertical="center" wrapText="1"/>
    </xf>
    <xf numFmtId="0" fontId="36" fillId="0" borderId="68" xfId="0" applyNumberFormat="1" applyFont="1" applyBorder="1" applyAlignment="1">
      <alignment horizontal="left" vertical="center"/>
    </xf>
    <xf numFmtId="0" fontId="60" fillId="0" borderId="68" xfId="0" applyFont="1" applyBorder="1"/>
    <xf numFmtId="49" fontId="34" fillId="0" borderId="68" xfId="0" applyNumberFormat="1" applyFont="1" applyBorder="1" applyAlignment="1">
      <alignment horizontal="center" vertical="center" wrapText="1"/>
    </xf>
    <xf numFmtId="3" fontId="35" fillId="52" borderId="0" xfId="0" applyNumberFormat="1" applyFont="1" applyFill="1" applyAlignment="1">
      <alignment vertical="center"/>
    </xf>
    <xf numFmtId="3" fontId="35" fillId="7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0" fillId="72" borderId="4" xfId="0" applyFont="1" applyFill="1" applyBorder="1" applyAlignment="1">
      <alignment vertical="center"/>
    </xf>
    <xf numFmtId="0" fontId="35" fillId="72" borderId="4" xfId="0" applyFont="1" applyFill="1" applyBorder="1" applyAlignment="1">
      <alignment vertical="center"/>
    </xf>
    <xf numFmtId="0" fontId="10" fillId="72" borderId="4" xfId="0" applyFont="1" applyFill="1" applyBorder="1" applyAlignment="1">
      <alignment horizontal="right" vertical="center"/>
    </xf>
    <xf numFmtId="3" fontId="10" fillId="72" borderId="4" xfId="0" applyNumberFormat="1" applyFont="1" applyFill="1" applyBorder="1" applyAlignment="1">
      <alignment horizontal="center" vertical="center"/>
    </xf>
    <xf numFmtId="3" fontId="10" fillId="72" borderId="4" xfId="0" applyNumberFormat="1" applyFont="1" applyFill="1" applyBorder="1" applyAlignment="1">
      <alignment horizontal="center" vertical="center" wrapText="1"/>
    </xf>
    <xf numFmtId="0" fontId="62" fillId="72" borderId="4" xfId="2616" applyFont="1" applyFill="1" applyBorder="1" applyAlignment="1" applyProtection="1">
      <alignment horizontal="center" vertical="center" wrapText="1"/>
    </xf>
    <xf numFmtId="0" fontId="11" fillId="72" borderId="4" xfId="2616" applyFont="1" applyFill="1" applyBorder="1" applyAlignment="1" applyProtection="1">
      <alignment horizontal="left" vertical="center" wrapText="1"/>
    </xf>
    <xf numFmtId="0" fontId="62" fillId="72" borderId="4" xfId="2616" applyFont="1" applyFill="1" applyBorder="1" applyAlignment="1" applyProtection="1">
      <alignment horizontal="center"/>
    </xf>
    <xf numFmtId="0" fontId="62" fillId="72" borderId="4" xfId="2616" applyFont="1" applyFill="1" applyBorder="1" applyAlignment="1" applyProtection="1">
      <alignment vertical="center" wrapText="1"/>
    </xf>
    <xf numFmtId="2" fontId="62" fillId="72" borderId="4" xfId="2616" applyNumberFormat="1" applyFont="1" applyFill="1" applyBorder="1" applyAlignment="1" applyProtection="1">
      <alignment horizontal="center" vertical="center" wrapText="1"/>
    </xf>
    <xf numFmtId="4" fontId="11" fillId="72" borderId="4" xfId="0" applyNumberFormat="1" applyFont="1" applyFill="1" applyBorder="1" applyAlignment="1">
      <alignment vertical="center"/>
    </xf>
    <xf numFmtId="9" fontId="11" fillId="72" borderId="4" xfId="2667" applyFont="1" applyFill="1" applyBorder="1" applyAlignment="1">
      <alignment horizontal="center" vertical="center"/>
    </xf>
    <xf numFmtId="0" fontId="63" fillId="72" borderId="4" xfId="2616" applyFont="1" applyFill="1" applyBorder="1" applyAlignment="1" applyProtection="1">
      <alignment horizontal="center" vertical="center" wrapText="1"/>
    </xf>
    <xf numFmtId="0" fontId="63" fillId="72" borderId="4" xfId="2616" applyFont="1" applyFill="1" applyBorder="1" applyAlignment="1" applyProtection="1">
      <alignment vertical="center" wrapText="1"/>
    </xf>
    <xf numFmtId="2" fontId="63" fillId="52" borderId="4" xfId="2616" applyNumberFormat="1" applyFont="1" applyFill="1" applyBorder="1" applyAlignment="1" applyProtection="1">
      <alignment horizontal="center" vertical="center" wrapText="1"/>
    </xf>
    <xf numFmtId="4" fontId="10" fillId="72" borderId="4" xfId="0" applyNumberFormat="1" applyFont="1" applyFill="1" applyBorder="1" applyAlignment="1">
      <alignment vertical="center"/>
    </xf>
    <xf numFmtId="9" fontId="10" fillId="72" borderId="4" xfId="2667" applyFont="1" applyFill="1" applyBorder="1" applyAlignment="1">
      <alignment horizontal="center" vertical="center"/>
    </xf>
    <xf numFmtId="0" fontId="63" fillId="72" borderId="4" xfId="2616" applyFont="1" applyFill="1" applyBorder="1" applyAlignment="1" applyProtection="1">
      <alignment horizontal="left" vertical="center" wrapText="1" indent="1"/>
    </xf>
    <xf numFmtId="2" fontId="10" fillId="72" borderId="4" xfId="0" applyNumberFormat="1" applyFont="1" applyFill="1" applyBorder="1" applyAlignment="1">
      <alignment horizontal="center" vertical="center"/>
    </xf>
    <xf numFmtId="0" fontId="63" fillId="72" borderId="4" xfId="2616" applyFont="1" applyFill="1" applyBorder="1" applyAlignment="1" applyProtection="1">
      <alignment horizontal="center" vertical="center"/>
    </xf>
    <xf numFmtId="10" fontId="63" fillId="72" borderId="4" xfId="2667" applyNumberFormat="1" applyFont="1" applyFill="1" applyBorder="1" applyAlignment="1" applyProtection="1">
      <alignment horizontal="center" vertical="center"/>
    </xf>
    <xf numFmtId="10" fontId="10" fillId="72" borderId="4" xfId="2667" applyNumberFormat="1" applyFont="1" applyFill="1" applyBorder="1" applyAlignment="1">
      <alignment vertical="center"/>
    </xf>
    <xf numFmtId="49" fontId="63" fillId="72" borderId="4" xfId="2616" applyNumberFormat="1" applyFont="1" applyFill="1" applyBorder="1" applyAlignment="1" applyProtection="1">
      <alignment horizontal="center" vertical="center" wrapText="1"/>
    </xf>
    <xf numFmtId="9" fontId="63" fillId="72" borderId="4" xfId="2667" applyFont="1" applyFill="1" applyBorder="1" applyAlignment="1" applyProtection="1">
      <alignment horizontal="center" vertical="center" wrapText="1"/>
    </xf>
    <xf numFmtId="0" fontId="62" fillId="72" borderId="4" xfId="2616" applyFont="1" applyFill="1" applyBorder="1" applyAlignment="1" applyProtection="1">
      <alignment horizontal="center" vertical="center"/>
    </xf>
    <xf numFmtId="4" fontId="62" fillId="72" borderId="4" xfId="2616" applyNumberFormat="1" applyFont="1" applyFill="1" applyBorder="1" applyAlignment="1" applyProtection="1">
      <alignment horizontal="center" vertical="center" wrapText="1"/>
    </xf>
    <xf numFmtId="16" fontId="63" fillId="72" borderId="4" xfId="2616" applyNumberFormat="1" applyFont="1" applyFill="1" applyBorder="1" applyAlignment="1" applyProtection="1">
      <alignment horizontal="center" vertical="center" wrapText="1"/>
    </xf>
    <xf numFmtId="4" fontId="63" fillId="52" borderId="4" xfId="2616" applyNumberFormat="1" applyFont="1" applyFill="1" applyBorder="1" applyAlignment="1" applyProtection="1">
      <alignment horizontal="center" vertical="center" wrapText="1"/>
    </xf>
    <xf numFmtId="4" fontId="63" fillId="72" borderId="4" xfId="2616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49" fontId="10" fillId="0" borderId="4" xfId="2621" applyNumberFormat="1" applyFont="1" applyBorder="1" applyAlignment="1"/>
    <xf numFmtId="49" fontId="10" fillId="0" borderId="26" xfId="2621" applyNumberFormat="1" applyFont="1" applyBorder="1"/>
    <xf numFmtId="0" fontId="11" fillId="0" borderId="26" xfId="0" applyFont="1" applyBorder="1" applyAlignment="1">
      <alignment wrapText="1"/>
    </xf>
    <xf numFmtId="49" fontId="10" fillId="0" borderId="68" xfId="2621" applyNumberFormat="1" applyFont="1" applyBorder="1"/>
    <xf numFmtId="0" fontId="11" fillId="0" borderId="68" xfId="0" applyFont="1" applyBorder="1"/>
    <xf numFmtId="0" fontId="10" fillId="0" borderId="68" xfId="0" applyFont="1" applyBorder="1" applyAlignment="1" applyProtection="1">
      <alignment horizontal="center" wrapText="1"/>
      <protection locked="0"/>
    </xf>
    <xf numFmtId="0" fontId="10" fillId="0" borderId="68" xfId="0" applyFont="1" applyBorder="1" applyAlignment="1">
      <alignment horizontal="center"/>
    </xf>
    <xf numFmtId="0" fontId="10" fillId="0" borderId="68" xfId="0" applyFont="1" applyFill="1" applyBorder="1" applyAlignment="1">
      <alignment horizontal="center"/>
    </xf>
    <xf numFmtId="49" fontId="10" fillId="0" borderId="0" xfId="0" applyNumberFormat="1" applyFont="1" applyFill="1" applyBorder="1"/>
    <xf numFmtId="0" fontId="10" fillId="0" borderId="0" xfId="0" applyFont="1" applyFill="1" applyBorder="1" applyProtection="1">
      <protection locked="0"/>
    </xf>
    <xf numFmtId="49" fontId="10" fillId="0" borderId="4" xfId="0" applyNumberFormat="1" applyFont="1" applyBorder="1"/>
    <xf numFmtId="168" fontId="10" fillId="52" borderId="4" xfId="2664" applyNumberFormat="1" applyFont="1" applyFill="1" applyBorder="1" applyProtection="1">
      <protection locked="0"/>
    </xf>
    <xf numFmtId="49" fontId="10" fillId="0" borderId="4" xfId="0" applyNumberFormat="1" applyFont="1" applyBorder="1" applyAlignment="1">
      <alignment horizontal="left"/>
    </xf>
    <xf numFmtId="49" fontId="10" fillId="0" borderId="4" xfId="0" applyNumberFormat="1" applyFont="1" applyBorder="1" applyAlignment="1">
      <alignment horizontal="center" vertical="center"/>
    </xf>
    <xf numFmtId="0" fontId="10" fillId="52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justify"/>
    </xf>
    <xf numFmtId="0" fontId="10" fillId="52" borderId="4" xfId="0" applyFont="1" applyFill="1" applyBorder="1"/>
    <xf numFmtId="0" fontId="10" fillId="0" borderId="4" xfId="0" applyFont="1" applyBorder="1" applyAlignment="1">
      <alignment horizontal="right"/>
    </xf>
    <xf numFmtId="49" fontId="10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horizontal="left"/>
    </xf>
    <xf numFmtId="14" fontId="10" fillId="0" borderId="4" xfId="0" applyNumberFormat="1" applyFont="1" applyBorder="1" applyAlignment="1">
      <alignment horizontal="right"/>
    </xf>
    <xf numFmtId="0" fontId="11" fillId="0" borderId="0" xfId="0" applyFont="1"/>
    <xf numFmtId="0" fontId="35" fillId="0" borderId="4" xfId="0" applyFont="1" applyBorder="1"/>
    <xf numFmtId="2" fontId="35" fillId="0" borderId="4" xfId="0" applyNumberFormat="1" applyFont="1" applyBorder="1"/>
    <xf numFmtId="0" fontId="41" fillId="0" borderId="0" xfId="0" applyFont="1" applyAlignment="1"/>
    <xf numFmtId="0" fontId="10" fillId="72" borderId="4" xfId="0" applyFont="1" applyFill="1" applyBorder="1"/>
    <xf numFmtId="2" fontId="10" fillId="72" borderId="4" xfId="0" applyNumberFormat="1" applyFont="1" applyFill="1" applyBorder="1"/>
    <xf numFmtId="0" fontId="10" fillId="72" borderId="4" xfId="0" applyFont="1" applyFill="1" applyBorder="1" applyAlignment="1">
      <alignment horizontal="right"/>
    </xf>
    <xf numFmtId="49" fontId="10" fillId="72" borderId="4" xfId="0" applyNumberFormat="1" applyFont="1" applyFill="1" applyBorder="1" applyAlignment="1">
      <alignment horizontal="right"/>
    </xf>
    <xf numFmtId="2" fontId="10" fillId="0" borderId="0" xfId="0" applyNumberFormat="1" applyFont="1"/>
    <xf numFmtId="0" fontId="11" fillId="0" borderId="4" xfId="0" applyFont="1" applyBorder="1" applyAlignment="1" applyProtection="1">
      <alignment horizontal="left" vertical="center" wrapText="1"/>
      <protection locked="0"/>
    </xf>
    <xf numFmtId="0" fontId="30" fillId="0" borderId="0" xfId="0" applyFont="1"/>
    <xf numFmtId="4" fontId="0" fillId="0" borderId="0" xfId="0" applyNumberFormat="1"/>
    <xf numFmtId="0" fontId="65" fillId="0" borderId="0" xfId="0" applyFont="1"/>
    <xf numFmtId="3" fontId="11" fillId="0" borderId="26" xfId="0" applyNumberFormat="1" applyFont="1" applyBorder="1" applyAlignment="1" applyProtection="1">
      <alignment horizontal="center" wrapText="1"/>
      <protection locked="0"/>
    </xf>
    <xf numFmtId="3" fontId="11" fillId="0" borderId="26" xfId="0" applyNumberFormat="1" applyFont="1" applyBorder="1" applyAlignment="1">
      <alignment horizontal="center" wrapText="1"/>
    </xf>
    <xf numFmtId="3" fontId="10" fillId="52" borderId="4" xfId="0" applyNumberFormat="1" applyFont="1" applyFill="1" applyBorder="1" applyAlignment="1">
      <alignment horizontal="center"/>
    </xf>
    <xf numFmtId="3" fontId="32" fillId="0" borderId="4" xfId="0" applyNumberFormat="1" applyFont="1" applyFill="1" applyBorder="1" applyAlignment="1" applyProtection="1">
      <alignment horizontal="center"/>
    </xf>
    <xf numFmtId="3" fontId="32" fillId="72" borderId="4" xfId="0" applyNumberFormat="1" applyFont="1" applyFill="1" applyBorder="1" applyAlignment="1" applyProtection="1">
      <alignment horizontal="center"/>
      <protection locked="0"/>
    </xf>
    <xf numFmtId="3" fontId="32" fillId="0" borderId="4" xfId="0" applyNumberFormat="1" applyFont="1" applyFill="1" applyBorder="1" applyAlignment="1">
      <alignment horizontal="center" wrapText="1"/>
    </xf>
    <xf numFmtId="3" fontId="11" fillId="52" borderId="4" xfId="0" applyNumberFormat="1" applyFont="1" applyFill="1" applyBorder="1" applyAlignment="1" applyProtection="1">
      <alignment horizontal="center"/>
      <protection locked="0"/>
    </xf>
    <xf numFmtId="3" fontId="11" fillId="0" borderId="4" xfId="0" applyNumberFormat="1" applyFont="1" applyFill="1" applyBorder="1" applyAlignment="1" applyProtection="1">
      <alignment horizontal="center"/>
      <protection locked="0"/>
    </xf>
    <xf numFmtId="3" fontId="10" fillId="52" borderId="4" xfId="0" applyNumberFormat="1" applyFont="1" applyFill="1" applyBorder="1" applyAlignment="1" applyProtection="1">
      <alignment horizontal="center"/>
      <protection locked="0"/>
    </xf>
    <xf numFmtId="171" fontId="10" fillId="0" borderId="4" xfId="0" applyNumberFormat="1" applyFont="1" applyBorder="1" applyAlignment="1" applyProtection="1">
      <alignment horizontal="center" wrapText="1"/>
      <protection locked="0"/>
    </xf>
    <xf numFmtId="3" fontId="19" fillId="0" borderId="30" xfId="2620" applyNumberFormat="1" applyBorder="1" applyAlignment="1">
      <alignment wrapText="1"/>
    </xf>
    <xf numFmtId="3" fontId="19" fillId="0" borderId="31" xfId="2620" applyNumberFormat="1" applyBorder="1" applyAlignment="1">
      <alignment wrapText="1"/>
    </xf>
    <xf numFmtId="3" fontId="19" fillId="0" borderId="64" xfId="2620" applyNumberFormat="1" applyBorder="1" applyAlignment="1">
      <alignment wrapText="1"/>
    </xf>
    <xf numFmtId="3" fontId="19" fillId="0" borderId="4" xfId="2620" applyNumberFormat="1" applyFont="1" applyBorder="1" applyAlignment="1">
      <alignment wrapText="1"/>
    </xf>
    <xf numFmtId="3" fontId="19" fillId="0" borderId="32" xfId="2620" applyNumberFormat="1" applyFont="1" applyBorder="1" applyAlignment="1">
      <alignment wrapText="1"/>
    </xf>
    <xf numFmtId="3" fontId="19" fillId="0" borderId="65" xfId="2620" applyNumberFormat="1" applyFont="1" applyBorder="1" applyAlignment="1">
      <alignment wrapText="1"/>
    </xf>
    <xf numFmtId="3" fontId="19" fillId="52" borderId="4" xfId="2620" applyNumberFormat="1" applyFill="1" applyBorder="1" applyAlignment="1" applyProtection="1">
      <alignment wrapText="1"/>
      <protection locked="0"/>
    </xf>
    <xf numFmtId="3" fontId="19" fillId="0" borderId="57" xfId="2620" applyNumberFormat="1" applyBorder="1" applyAlignment="1">
      <alignment wrapText="1"/>
    </xf>
    <xf numFmtId="3" fontId="19" fillId="0" borderId="32" xfId="2620" applyNumberFormat="1" applyBorder="1" applyAlignment="1">
      <alignment wrapText="1"/>
    </xf>
    <xf numFmtId="3" fontId="19" fillId="52" borderId="65" xfId="2620" applyNumberFormat="1" applyFill="1" applyBorder="1" applyAlignment="1" applyProtection="1">
      <alignment wrapText="1"/>
      <protection locked="0"/>
    </xf>
    <xf numFmtId="3" fontId="19" fillId="52" borderId="27" xfId="2620" applyNumberFormat="1" applyFill="1" applyBorder="1" applyAlignment="1" applyProtection="1">
      <alignment wrapText="1"/>
      <protection locked="0"/>
    </xf>
    <xf numFmtId="3" fontId="19" fillId="0" borderId="43" xfId="2620" applyNumberFormat="1" applyBorder="1" applyAlignment="1">
      <alignment wrapText="1"/>
    </xf>
    <xf numFmtId="3" fontId="19" fillId="0" borderId="55" xfId="2620" applyNumberFormat="1" applyBorder="1" applyAlignment="1">
      <alignment wrapText="1"/>
    </xf>
    <xf numFmtId="3" fontId="19" fillId="52" borderId="69" xfId="2620" applyNumberFormat="1" applyFill="1" applyBorder="1" applyAlignment="1" applyProtection="1">
      <alignment wrapText="1"/>
      <protection locked="0"/>
    </xf>
    <xf numFmtId="3" fontId="19" fillId="0" borderId="30" xfId="2620" applyNumberFormat="1" applyFont="1" applyBorder="1" applyAlignment="1">
      <alignment wrapText="1"/>
    </xf>
    <xf numFmtId="3" fontId="19" fillId="0" borderId="31" xfId="2620" applyNumberFormat="1" applyFont="1" applyBorder="1" applyAlignment="1">
      <alignment wrapText="1"/>
    </xf>
    <xf numFmtId="3" fontId="19" fillId="52" borderId="40" xfId="2620" applyNumberFormat="1" applyFill="1" applyBorder="1" applyAlignment="1" applyProtection="1">
      <alignment wrapText="1"/>
      <protection locked="0"/>
    </xf>
    <xf numFmtId="3" fontId="19" fillId="0" borderId="58" xfId="2620" applyNumberFormat="1" applyBorder="1" applyAlignment="1">
      <alignment wrapText="1"/>
    </xf>
    <xf numFmtId="3" fontId="19" fillId="0" borderId="41" xfId="2620" applyNumberFormat="1" applyBorder="1" applyAlignment="1">
      <alignment wrapText="1"/>
    </xf>
    <xf numFmtId="3" fontId="19" fillId="0" borderId="64" xfId="2620" applyNumberFormat="1" applyFont="1" applyBorder="1" applyAlignment="1">
      <alignment wrapText="1"/>
    </xf>
    <xf numFmtId="3" fontId="19" fillId="0" borderId="40" xfId="2620" applyNumberFormat="1" applyFont="1" applyBorder="1" applyAlignment="1">
      <alignment horizontal="center" wrapText="1"/>
    </xf>
    <xf numFmtId="3" fontId="19" fillId="0" borderId="58" xfId="2620" applyNumberFormat="1" applyFont="1" applyBorder="1" applyAlignment="1">
      <alignment horizontal="center" wrapText="1"/>
    </xf>
    <xf numFmtId="3" fontId="19" fillId="0" borderId="69" xfId="2620" applyNumberFormat="1" applyFont="1" applyBorder="1" applyAlignment="1">
      <alignment horizontal="center" wrapText="1"/>
    </xf>
    <xf numFmtId="3" fontId="19" fillId="0" borderId="56" xfId="2620" applyNumberFormat="1" applyFont="1" applyBorder="1" applyAlignment="1">
      <alignment wrapText="1"/>
    </xf>
    <xf numFmtId="3" fontId="19" fillId="0" borderId="57" xfId="2620" applyNumberFormat="1" applyFont="1" applyBorder="1" applyAlignment="1">
      <alignment wrapText="1"/>
    </xf>
    <xf numFmtId="3" fontId="19" fillId="0" borderId="40" xfId="2620" applyNumberFormat="1" applyFont="1" applyBorder="1" applyAlignment="1">
      <alignment wrapText="1"/>
    </xf>
    <xf numFmtId="3" fontId="19" fillId="0" borderId="58" xfId="2620" applyNumberFormat="1" applyFont="1" applyBorder="1" applyAlignment="1">
      <alignment wrapText="1"/>
    </xf>
    <xf numFmtId="3" fontId="19" fillId="0" borderId="69" xfId="2620" applyNumberFormat="1" applyFont="1" applyBorder="1" applyAlignment="1">
      <alignment wrapText="1"/>
    </xf>
    <xf numFmtId="0" fontId="11" fillId="52" borderId="4" xfId="0" applyFont="1" applyFill="1" applyBorder="1" applyAlignment="1" applyProtection="1">
      <alignment horizontal="center" vertical="center" wrapText="1"/>
      <protection locked="0"/>
    </xf>
    <xf numFmtId="3" fontId="19" fillId="3" borderId="4" xfId="2617" applyNumberFormat="1" applyFont="1" applyFill="1" applyBorder="1" applyProtection="1">
      <protection locked="0"/>
    </xf>
    <xf numFmtId="3" fontId="19" fillId="3" borderId="32" xfId="2617" applyNumberFormat="1" applyFont="1" applyFill="1" applyBorder="1" applyProtection="1">
      <protection locked="0"/>
    </xf>
    <xf numFmtId="3" fontId="19" fillId="3" borderId="40" xfId="2617" applyNumberFormat="1" applyFont="1" applyFill="1" applyBorder="1" applyProtection="1">
      <protection locked="0"/>
    </xf>
    <xf numFmtId="3" fontId="19" fillId="3" borderId="30" xfId="2617" applyNumberFormat="1" applyFont="1" applyFill="1" applyBorder="1" applyProtection="1">
      <protection locked="0"/>
    </xf>
    <xf numFmtId="3" fontId="19" fillId="0" borderId="30" xfId="2617" applyNumberFormat="1" applyFont="1" applyBorder="1"/>
    <xf numFmtId="3" fontId="19" fillId="0" borderId="31" xfId="2617" applyNumberFormat="1" applyFont="1" applyBorder="1"/>
    <xf numFmtId="3" fontId="19" fillId="0" borderId="4" xfId="2617" applyNumberFormat="1" applyFont="1" applyBorder="1"/>
    <xf numFmtId="3" fontId="19" fillId="0" borderId="32" xfId="2617" applyNumberFormat="1" applyFont="1" applyBorder="1"/>
    <xf numFmtId="4" fontId="10" fillId="0" borderId="53" xfId="2617" applyNumberFormat="1" applyFont="1" applyBorder="1" applyAlignment="1"/>
    <xf numFmtId="3" fontId="19" fillId="0" borderId="51" xfId="2617" applyNumberFormat="1" applyFont="1" applyBorder="1"/>
    <xf numFmtId="167" fontId="10" fillId="3" borderId="4" xfId="0" applyNumberFormat="1" applyFont="1" applyFill="1" applyBorder="1" applyProtection="1"/>
    <xf numFmtId="167" fontId="10" fillId="57" borderId="4" xfId="0" applyNumberFormat="1" applyFont="1" applyFill="1" applyBorder="1" applyProtection="1">
      <protection locked="0"/>
    </xf>
    <xf numFmtId="167" fontId="18" fillId="72" borderId="4" xfId="604" applyNumberFormat="1" applyFont="1" applyFill="1" applyBorder="1" applyAlignment="1" applyProtection="1">
      <alignment horizontal="center"/>
      <protection locked="0"/>
    </xf>
    <xf numFmtId="167" fontId="10" fillId="3" borderId="4" xfId="0" applyNumberFormat="1" applyFont="1" applyFill="1" applyBorder="1" applyProtection="1">
      <protection locked="0"/>
    </xf>
    <xf numFmtId="167" fontId="48" fillId="72" borderId="4" xfId="604" applyNumberFormat="1" applyFont="1" applyFill="1" applyBorder="1" applyAlignment="1" applyProtection="1">
      <alignment horizontal="center"/>
      <protection locked="0"/>
    </xf>
    <xf numFmtId="167" fontId="10" fillId="3" borderId="4" xfId="0" applyNumberFormat="1" applyFont="1" applyFill="1" applyBorder="1" applyAlignment="1" applyProtection="1">
      <protection locked="0"/>
    </xf>
    <xf numFmtId="4" fontId="19" fillId="0" borderId="25" xfId="2617" applyNumberFormat="1" applyBorder="1"/>
    <xf numFmtId="4" fontId="19" fillId="0" borderId="30" xfId="2617" applyNumberFormat="1" applyBorder="1"/>
    <xf numFmtId="4" fontId="19" fillId="0" borderId="31" xfId="2617" applyNumberFormat="1" applyBorder="1"/>
    <xf numFmtId="4" fontId="19" fillId="0" borderId="33" xfId="2617" applyNumberFormat="1" applyBorder="1"/>
    <xf numFmtId="4" fontId="19" fillId="0" borderId="4" xfId="2617" applyNumberFormat="1" applyBorder="1"/>
    <xf numFmtId="4" fontId="19" fillId="0" borderId="32" xfId="2617" applyNumberFormat="1" applyBorder="1"/>
    <xf numFmtId="4" fontId="19" fillId="0" borderId="39" xfId="2617" applyNumberFormat="1" applyBorder="1"/>
    <xf numFmtId="4" fontId="19" fillId="0" borderId="40" xfId="2617" applyNumberFormat="1" applyBorder="1"/>
    <xf numFmtId="4" fontId="19" fillId="0" borderId="41" xfId="2617" applyNumberFormat="1" applyBorder="1"/>
    <xf numFmtId="4" fontId="17" fillId="0" borderId="23" xfId="2617" applyNumberFormat="1" applyFont="1" applyBorder="1" applyAlignment="1"/>
    <xf numFmtId="4" fontId="19" fillId="0" borderId="51" xfId="2617" applyNumberFormat="1" applyFont="1" applyBorder="1"/>
    <xf numFmtId="4" fontId="17" fillId="0" borderId="49" xfId="2617" applyNumberFormat="1" applyFont="1" applyBorder="1" applyAlignment="1"/>
    <xf numFmtId="4" fontId="10" fillId="0" borderId="30" xfId="2617" applyNumberFormat="1" applyFont="1" applyBorder="1" applyAlignment="1">
      <alignment horizontal="center" vertical="center"/>
    </xf>
    <xf numFmtId="4" fontId="10" fillId="0" borderId="30" xfId="2617" applyNumberFormat="1" applyFont="1" applyBorder="1" applyAlignment="1"/>
    <xf numFmtId="4" fontId="19" fillId="0" borderId="31" xfId="2617" applyNumberFormat="1" applyFont="1" applyBorder="1"/>
    <xf numFmtId="4" fontId="17" fillId="0" borderId="29" xfId="2617" applyNumberFormat="1" applyFont="1" applyBorder="1" applyAlignment="1"/>
    <xf numFmtId="4" fontId="10" fillId="0" borderId="4" xfId="2617" applyNumberFormat="1" applyFont="1" applyBorder="1" applyAlignment="1">
      <alignment horizontal="center" vertical="center"/>
    </xf>
    <xf numFmtId="4" fontId="10" fillId="0" borderId="4" xfId="2617" applyNumberFormat="1" applyFont="1" applyBorder="1" applyAlignment="1"/>
    <xf numFmtId="4" fontId="10" fillId="3" borderId="4" xfId="2617" applyNumberFormat="1" applyFont="1" applyFill="1" applyBorder="1" applyAlignment="1" applyProtection="1">
      <protection locked="0"/>
    </xf>
    <xf numFmtId="4" fontId="19" fillId="3" borderId="32" xfId="2617" applyNumberFormat="1" applyFont="1" applyFill="1" applyBorder="1" applyProtection="1">
      <protection locked="0"/>
    </xf>
    <xf numFmtId="4" fontId="19" fillId="3" borderId="4" xfId="2617" applyNumberFormat="1" applyFont="1" applyFill="1" applyBorder="1" applyProtection="1">
      <protection locked="0"/>
    </xf>
    <xf numFmtId="4" fontId="17" fillId="0" borderId="38" xfId="2617" applyNumberFormat="1" applyFont="1" applyBorder="1" applyAlignment="1"/>
    <xf numFmtId="4" fontId="10" fillId="0" borderId="40" xfId="2617" applyNumberFormat="1" applyFont="1" applyBorder="1" applyAlignment="1">
      <alignment horizontal="center" vertical="center"/>
    </xf>
    <xf numFmtId="4" fontId="19" fillId="0" borderId="41" xfId="2617" applyNumberFormat="1" applyFont="1" applyBorder="1"/>
    <xf numFmtId="4" fontId="17" fillId="0" borderId="25" xfId="2617" applyNumberFormat="1" applyFont="1" applyBorder="1" applyAlignment="1"/>
    <xf numFmtId="4" fontId="19" fillId="3" borderId="30" xfId="2617" applyNumberFormat="1" applyFont="1" applyFill="1" applyBorder="1" applyProtection="1">
      <protection locked="0"/>
    </xf>
    <xf numFmtId="4" fontId="19" fillId="3" borderId="31" xfId="2617" applyNumberFormat="1" applyFont="1" applyFill="1" applyBorder="1" applyProtection="1">
      <protection locked="0"/>
    </xf>
    <xf numFmtId="4" fontId="17" fillId="0" borderId="33" xfId="2617" applyNumberFormat="1" applyFont="1" applyBorder="1" applyAlignment="1"/>
    <xf numFmtId="4" fontId="19" fillId="0" borderId="4" xfId="2617" applyNumberFormat="1" applyFont="1" applyBorder="1"/>
    <xf numFmtId="4" fontId="19" fillId="0" borderId="32" xfId="2617" applyNumberFormat="1" applyFont="1" applyBorder="1"/>
    <xf numFmtId="4" fontId="17" fillId="0" borderId="39" xfId="2617" applyNumberFormat="1" applyFont="1" applyBorder="1" applyAlignment="1"/>
    <xf numFmtId="4" fontId="19" fillId="3" borderId="40" xfId="2617" applyNumberFormat="1" applyFont="1" applyFill="1" applyBorder="1" applyProtection="1">
      <protection locked="0"/>
    </xf>
    <xf numFmtId="4" fontId="19" fillId="3" borderId="41" xfId="2617" applyNumberFormat="1" applyFont="1" applyFill="1" applyBorder="1" applyProtection="1">
      <protection locked="0"/>
    </xf>
    <xf numFmtId="4" fontId="19" fillId="0" borderId="30" xfId="2617" applyNumberFormat="1" applyFont="1" applyBorder="1"/>
    <xf numFmtId="4" fontId="19" fillId="3" borderId="27" xfId="2617" applyNumberFormat="1" applyFont="1" applyFill="1" applyBorder="1" applyProtection="1">
      <protection locked="0"/>
    </xf>
    <xf numFmtId="4" fontId="19" fillId="3" borderId="55" xfId="2617" applyNumberFormat="1" applyFont="1" applyFill="1" applyBorder="1" applyProtection="1">
      <protection locked="0"/>
    </xf>
    <xf numFmtId="171" fontId="19" fillId="3" borderId="32" xfId="2617" applyNumberFormat="1" applyFont="1" applyFill="1" applyBorder="1" applyProtection="1">
      <protection locked="0"/>
    </xf>
    <xf numFmtId="171" fontId="19" fillId="3" borderId="40" xfId="2617" applyNumberFormat="1" applyFont="1" applyFill="1" applyBorder="1" applyProtection="1">
      <protection locked="0"/>
    </xf>
    <xf numFmtId="171" fontId="19" fillId="3" borderId="41" xfId="2617" applyNumberFormat="1" applyFont="1" applyFill="1" applyBorder="1" applyProtection="1">
      <protection locked="0"/>
    </xf>
    <xf numFmtId="171" fontId="19" fillId="3" borderId="30" xfId="2617" applyNumberFormat="1" applyFont="1" applyFill="1" applyBorder="1" applyProtection="1">
      <protection locked="0"/>
    </xf>
    <xf numFmtId="171" fontId="19" fillId="3" borderId="31" xfId="2617" applyNumberFormat="1" applyFont="1" applyFill="1" applyBorder="1" applyProtection="1">
      <protection locked="0"/>
    </xf>
    <xf numFmtId="171" fontId="19" fillId="0" borderId="30" xfId="2617" applyNumberFormat="1" applyFont="1" applyBorder="1"/>
    <xf numFmtId="171" fontId="19" fillId="0" borderId="31" xfId="2617" applyNumberFormat="1" applyFont="1" applyBorder="1"/>
    <xf numFmtId="171" fontId="19" fillId="0" borderId="4" xfId="2617" applyNumberFormat="1" applyFont="1" applyBorder="1"/>
    <xf numFmtId="171" fontId="19" fillId="0" borderId="32" xfId="2617" applyNumberFormat="1" applyFont="1" applyBorder="1"/>
    <xf numFmtId="171" fontId="19" fillId="3" borderId="4" xfId="2617" applyNumberFormat="1" applyFont="1" applyFill="1" applyBorder="1" applyProtection="1">
      <protection locked="0"/>
    </xf>
    <xf numFmtId="170" fontId="19" fillId="3" borderId="4" xfId="2617" applyNumberFormat="1" applyFont="1" applyFill="1" applyBorder="1" applyProtection="1">
      <protection locked="0"/>
    </xf>
    <xf numFmtId="171" fontId="10" fillId="0" borderId="53" xfId="2617" applyNumberFormat="1" applyFont="1" applyBorder="1" applyAlignment="1"/>
    <xf numFmtId="171" fontId="19" fillId="0" borderId="51" xfId="2617" applyNumberFormat="1" applyFont="1" applyBorder="1"/>
    <xf numFmtId="171" fontId="17" fillId="0" borderId="33" xfId="2617" applyNumberFormat="1" applyFont="1" applyBorder="1" applyAlignment="1"/>
    <xf numFmtId="171" fontId="17" fillId="0" borderId="25" xfId="2617" applyNumberFormat="1" applyFont="1" applyBorder="1" applyAlignment="1"/>
    <xf numFmtId="171" fontId="17" fillId="0" borderId="39" xfId="2617" applyNumberFormat="1" applyFont="1" applyBorder="1" applyAlignment="1"/>
    <xf numFmtId="171" fontId="19" fillId="0" borderId="25" xfId="2617" applyNumberFormat="1" applyBorder="1"/>
    <xf numFmtId="171" fontId="19" fillId="0" borderId="33" xfId="2617" applyNumberFormat="1" applyBorder="1"/>
    <xf numFmtId="171" fontId="19" fillId="0" borderId="39" xfId="2617" applyNumberFormat="1" applyBorder="1"/>
    <xf numFmtId="171" fontId="19" fillId="0" borderId="30" xfId="2617" applyNumberFormat="1" applyBorder="1"/>
    <xf numFmtId="171" fontId="19" fillId="0" borderId="31" xfId="2617" applyNumberFormat="1" applyBorder="1"/>
    <xf numFmtId="171" fontId="19" fillId="0" borderId="4" xfId="2617" applyNumberFormat="1" applyBorder="1"/>
    <xf numFmtId="171" fontId="19" fillId="0" borderId="32" xfId="2617" applyNumberFormat="1" applyBorder="1"/>
    <xf numFmtId="171" fontId="19" fillId="0" borderId="40" xfId="2617" applyNumberFormat="1" applyBorder="1"/>
    <xf numFmtId="171" fontId="19" fillId="0" borderId="41" xfId="2617" applyNumberFormat="1" applyBorder="1"/>
    <xf numFmtId="3" fontId="10" fillId="52" borderId="30" xfId="0" applyNumberFormat="1" applyFont="1" applyFill="1" applyBorder="1" applyAlignment="1" applyProtection="1">
      <alignment horizontal="center" vertical="center"/>
      <protection locked="0"/>
    </xf>
    <xf numFmtId="3" fontId="10" fillId="52" borderId="26" xfId="0" applyNumberFormat="1" applyFont="1" applyFill="1" applyBorder="1" applyAlignment="1" applyProtection="1">
      <alignment horizontal="center" vertical="center"/>
      <protection locked="0"/>
    </xf>
    <xf numFmtId="3" fontId="10" fillId="52" borderId="4" xfId="0" applyNumberFormat="1" applyFont="1" applyFill="1" applyBorder="1" applyAlignment="1" applyProtection="1">
      <alignment horizontal="center" vertical="center"/>
      <protection locked="0"/>
    </xf>
    <xf numFmtId="3" fontId="10" fillId="0" borderId="4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45" xfId="0" applyNumberFormat="1" applyFont="1" applyBorder="1" applyAlignment="1">
      <alignment horizontal="center" vertical="center"/>
    </xf>
    <xf numFmtId="10" fontId="10" fillId="52" borderId="27" xfId="2664" applyNumberFormat="1" applyFont="1" applyFill="1" applyBorder="1" applyAlignment="1" applyProtection="1">
      <alignment horizontal="center" vertical="center"/>
      <protection locked="0"/>
    </xf>
    <xf numFmtId="3" fontId="10" fillId="52" borderId="4" xfId="0" applyNumberFormat="1" applyFont="1" applyFill="1" applyBorder="1" applyProtection="1">
      <protection locked="0"/>
    </xf>
    <xf numFmtId="3" fontId="10" fillId="0" borderId="4" xfId="0" applyNumberFormat="1" applyFont="1" applyBorder="1"/>
    <xf numFmtId="172" fontId="10" fillId="52" borderId="4" xfId="0" applyNumberFormat="1" applyFont="1" applyFill="1" applyBorder="1" applyProtection="1"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0" fillId="0" borderId="4" xfId="0" applyFont="1" applyBorder="1" applyAlignment="1"/>
    <xf numFmtId="0" fontId="31" fillId="0" borderId="0" xfId="0" applyFont="1"/>
    <xf numFmtId="3" fontId="32" fillId="72" borderId="4" xfId="0" applyNumberFormat="1" applyFont="1" applyFill="1" applyBorder="1" applyAlignment="1">
      <alignment horizontal="center"/>
    </xf>
    <xf numFmtId="3" fontId="32" fillId="81" borderId="4" xfId="0" applyNumberFormat="1" applyFont="1" applyFill="1" applyBorder="1" applyAlignment="1" applyProtection="1">
      <alignment horizontal="center" wrapText="1"/>
      <protection locked="0"/>
    </xf>
    <xf numFmtId="49" fontId="10" fillId="0" borderId="0" xfId="2621" applyNumberFormat="1" applyFont="1" applyAlignment="1">
      <alignment horizontal="centerContinuous" vertical="center" wrapText="1"/>
    </xf>
    <xf numFmtId="0" fontId="32" fillId="0" borderId="0" xfId="0" applyFont="1"/>
    <xf numFmtId="0" fontId="32" fillId="0" borderId="0" xfId="0" applyFont="1" applyAlignment="1">
      <alignment wrapText="1"/>
    </xf>
    <xf numFmtId="49" fontId="10" fillId="0" borderId="0" xfId="2621" applyNumberFormat="1" applyFont="1" applyBorder="1"/>
    <xf numFmtId="0" fontId="32" fillId="0" borderId="68" xfId="0" applyFont="1" applyBorder="1"/>
    <xf numFmtId="0" fontId="32" fillId="0" borderId="0" xfId="0" applyFont="1" applyBorder="1" applyAlignment="1">
      <alignment vertical="top"/>
    </xf>
    <xf numFmtId="9" fontId="32" fillId="72" borderId="0" xfId="2664" applyFont="1" applyFill="1"/>
    <xf numFmtId="3" fontId="32" fillId="72" borderId="4" xfId="0" applyNumberFormat="1" applyFont="1" applyFill="1" applyBorder="1" applyAlignment="1" applyProtection="1">
      <alignment horizontal="center" wrapText="1"/>
    </xf>
    <xf numFmtId="0" fontId="11" fillId="81" borderId="4" xfId="0" applyFont="1" applyFill="1" applyBorder="1" applyAlignment="1">
      <alignment wrapText="1"/>
    </xf>
    <xf numFmtId="3" fontId="32" fillId="72" borderId="4" xfId="0" applyNumberFormat="1" applyFont="1" applyFill="1" applyBorder="1" applyAlignment="1">
      <alignment horizontal="center" wrapText="1"/>
    </xf>
    <xf numFmtId="3" fontId="11" fillId="52" borderId="4" xfId="0" applyNumberFormat="1" applyFont="1" applyFill="1" applyBorder="1" applyAlignment="1" applyProtection="1">
      <alignment horizontal="center" wrapText="1"/>
      <protection locked="0"/>
    </xf>
    <xf numFmtId="166" fontId="10" fillId="0" borderId="4" xfId="2664" applyNumberFormat="1" applyFont="1" applyBorder="1" applyAlignment="1" applyProtection="1">
      <alignment horizontal="center" wrapText="1"/>
      <protection locked="0"/>
    </xf>
    <xf numFmtId="0" fontId="0" fillId="0" borderId="0" xfId="0" applyFont="1"/>
    <xf numFmtId="3" fontId="11" fillId="72" borderId="4" xfId="0" applyNumberFormat="1" applyFont="1" applyFill="1" applyBorder="1" applyAlignment="1" applyProtection="1">
      <alignment horizontal="center"/>
    </xf>
    <xf numFmtId="0" fontId="64" fillId="0" borderId="4" xfId="0" applyFont="1" applyFill="1" applyBorder="1" applyAlignment="1">
      <alignment wrapText="1"/>
    </xf>
    <xf numFmtId="0" fontId="10" fillId="0" borderId="4" xfId="0" applyFont="1" applyFill="1" applyBorder="1" applyAlignment="1" applyProtection="1">
      <alignment vertical="center" wrapText="1"/>
      <protection locked="0"/>
    </xf>
    <xf numFmtId="0" fontId="64" fillId="0" borderId="4" xfId="0" applyFont="1" applyFill="1" applyBorder="1"/>
    <xf numFmtId="3" fontId="11" fillId="0" borderId="4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 applyProtection="1">
      <alignment horizontal="center"/>
      <protection locked="0"/>
    </xf>
    <xf numFmtId="166" fontId="10" fillId="0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4" fontId="11" fillId="72" borderId="4" xfId="0" applyNumberFormat="1" applyFont="1" applyFill="1" applyBorder="1" applyAlignment="1" applyProtection="1">
      <alignment horizontal="center"/>
    </xf>
    <xf numFmtId="4" fontId="11" fillId="2" borderId="4" xfId="0" applyNumberFormat="1" applyFont="1" applyFill="1" applyBorder="1" applyAlignment="1" applyProtection="1">
      <alignment horizontal="center" vertical="center"/>
    </xf>
    <xf numFmtId="170" fontId="10" fillId="52" borderId="4" xfId="0" applyNumberFormat="1" applyFont="1" applyFill="1" applyBorder="1" applyAlignment="1" applyProtection="1">
      <alignment horizontal="center" vertical="center"/>
      <protection locked="0"/>
    </xf>
    <xf numFmtId="170" fontId="10" fillId="52" borderId="4" xfId="0" applyNumberFormat="1" applyFont="1" applyFill="1" applyBorder="1" applyAlignment="1" applyProtection="1">
      <alignment horizontal="center" vertical="center"/>
    </xf>
    <xf numFmtId="172" fontId="10" fillId="52" borderId="4" xfId="0" applyNumberFormat="1" applyFont="1" applyFill="1" applyBorder="1" applyAlignment="1" applyProtection="1">
      <alignment horizontal="center" vertical="center"/>
    </xf>
    <xf numFmtId="0" fontId="0" fillId="72" borderId="0" xfId="0" applyFont="1" applyFill="1"/>
    <xf numFmtId="4" fontId="0" fillId="0" borderId="4" xfId="0" applyNumberFormat="1" applyFont="1" applyBorder="1"/>
    <xf numFmtId="4" fontId="10" fillId="72" borderId="4" xfId="0" applyNumberFormat="1" applyFont="1" applyFill="1" applyBorder="1" applyAlignment="1" applyProtection="1">
      <alignment horizontal="center"/>
    </xf>
    <xf numFmtId="170" fontId="10" fillId="52" borderId="4" xfId="0" applyNumberFormat="1" applyFont="1" applyFill="1" applyBorder="1" applyAlignment="1" applyProtection="1">
      <alignment horizontal="center"/>
      <protection locked="0"/>
    </xf>
    <xf numFmtId="4" fontId="10" fillId="72" borderId="27" xfId="0" applyNumberFormat="1" applyFont="1" applyFill="1" applyBorder="1" applyAlignment="1" applyProtection="1">
      <alignment horizontal="center"/>
    </xf>
    <xf numFmtId="170" fontId="10" fillId="72" borderId="4" xfId="0" applyNumberFormat="1" applyFont="1" applyFill="1" applyBorder="1" applyAlignment="1" applyProtection="1">
      <alignment horizontal="center"/>
      <protection locked="0"/>
    </xf>
    <xf numFmtId="170" fontId="10" fillId="0" borderId="4" xfId="0" applyNumberFormat="1" applyFont="1" applyFill="1" applyBorder="1" applyAlignment="1" applyProtection="1">
      <alignment horizontal="center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49" fontId="10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0" fillId="52" borderId="4" xfId="2664" applyNumberFormat="1" applyFont="1" applyFill="1" applyBorder="1" applyAlignment="1" applyProtection="1">
      <alignment horizontal="center"/>
      <protection locked="0"/>
    </xf>
    <xf numFmtId="2" fontId="11" fillId="72" borderId="4" xfId="0" applyNumberFormat="1" applyFont="1" applyFill="1" applyBorder="1" applyAlignment="1" applyProtection="1">
      <alignment horizontal="center"/>
      <protection locked="0"/>
    </xf>
    <xf numFmtId="10" fontId="10" fillId="52" borderId="4" xfId="2664" applyNumberFormat="1" applyFont="1" applyFill="1" applyBorder="1" applyAlignment="1" applyProtection="1">
      <alignment horizontal="center"/>
      <protection locked="0"/>
    </xf>
    <xf numFmtId="168" fontId="10" fillId="52" borderId="4" xfId="0" applyNumberFormat="1" applyFont="1" applyFill="1" applyBorder="1" applyAlignment="1" applyProtection="1">
      <alignment horizontal="center"/>
      <protection locked="0"/>
    </xf>
    <xf numFmtId="2" fontId="11" fillId="52" borderId="4" xfId="0" applyNumberFormat="1" applyFont="1" applyFill="1" applyBorder="1" applyAlignment="1" applyProtection="1">
      <alignment horizontal="center"/>
      <protection locked="0"/>
    </xf>
    <xf numFmtId="2" fontId="10" fillId="52" borderId="4" xfId="0" applyNumberFormat="1" applyFont="1" applyFill="1" applyBorder="1" applyAlignment="1" applyProtection="1">
      <alignment horizontal="center"/>
      <protection locked="0"/>
    </xf>
    <xf numFmtId="2" fontId="10" fillId="72" borderId="4" xfId="0" applyNumberFormat="1" applyFont="1" applyFill="1" applyBorder="1" applyAlignment="1" applyProtection="1">
      <alignment horizontal="center"/>
    </xf>
    <xf numFmtId="49" fontId="10" fillId="0" borderId="4" xfId="0" applyNumberFormat="1" applyFont="1" applyFill="1" applyBorder="1"/>
    <xf numFmtId="0" fontId="10" fillId="0" borderId="4" xfId="0" applyFont="1" applyFill="1" applyBorder="1"/>
    <xf numFmtId="167" fontId="10" fillId="72" borderId="4" xfId="0" applyNumberFormat="1" applyFont="1" applyFill="1" applyBorder="1" applyAlignment="1" applyProtection="1">
      <alignment horizontal="center"/>
    </xf>
    <xf numFmtId="167" fontId="10" fillId="52" borderId="4" xfId="0" applyNumberFormat="1" applyFont="1" applyFill="1" applyBorder="1" applyAlignment="1" applyProtection="1">
      <alignment horizontal="center"/>
      <protection locked="0"/>
    </xf>
    <xf numFmtId="167" fontId="11" fillId="0" borderId="4" xfId="0" applyNumberFormat="1" applyFont="1" applyBorder="1" applyAlignment="1" applyProtection="1">
      <alignment horizontal="center" vertical="center"/>
      <protection locked="0"/>
    </xf>
    <xf numFmtId="167" fontId="11" fillId="0" borderId="4" xfId="0" applyNumberFormat="1" applyFont="1" applyBorder="1" applyAlignment="1" applyProtection="1">
      <alignment horizontal="center"/>
      <protection locked="0"/>
    </xf>
    <xf numFmtId="2" fontId="11" fillId="72" borderId="4" xfId="0" applyNumberFormat="1" applyFont="1" applyFill="1" applyBorder="1" applyAlignment="1" applyProtection="1">
      <alignment horizontal="center"/>
    </xf>
    <xf numFmtId="167" fontId="11" fillId="72" borderId="4" xfId="0" applyNumberFormat="1" applyFont="1" applyFill="1" applyBorder="1" applyAlignment="1" applyProtection="1">
      <alignment horizontal="center"/>
      <protection locked="0"/>
    </xf>
    <xf numFmtId="10" fontId="10" fillId="47" borderId="4" xfId="2664" applyNumberFormat="1" applyFont="1" applyFill="1" applyBorder="1" applyProtection="1">
      <protection locked="0"/>
    </xf>
    <xf numFmtId="10" fontId="10" fillId="72" borderId="4" xfId="2664" applyNumberFormat="1" applyFont="1" applyFill="1" applyBorder="1" applyAlignment="1" applyProtection="1">
      <alignment horizontal="center"/>
    </xf>
    <xf numFmtId="0" fontId="35" fillId="72" borderId="4" xfId="0" applyFont="1" applyFill="1" applyBorder="1" applyAlignment="1">
      <alignment wrapText="1"/>
    </xf>
    <xf numFmtId="0" fontId="36" fillId="72" borderId="4" xfId="0" applyFont="1" applyFill="1" applyBorder="1" applyAlignment="1">
      <alignment wrapText="1"/>
    </xf>
    <xf numFmtId="0" fontId="32" fillId="81" borderId="4" xfId="0" applyFont="1" applyFill="1" applyBorder="1" applyAlignment="1">
      <alignment horizontal="center"/>
    </xf>
    <xf numFmtId="172" fontId="32" fillId="72" borderId="0" xfId="0" applyNumberFormat="1" applyFont="1" applyFill="1" applyBorder="1" applyAlignment="1">
      <alignment horizontal="center" wrapText="1"/>
    </xf>
    <xf numFmtId="168" fontId="32" fillId="0" borderId="4" xfId="2664" applyNumberFormat="1" applyFont="1" applyFill="1" applyBorder="1" applyAlignment="1" applyProtection="1">
      <alignment horizontal="center" wrapText="1"/>
      <protection locked="0"/>
    </xf>
    <xf numFmtId="168" fontId="32" fillId="0" borderId="4" xfId="2664" applyNumberFormat="1" applyFont="1" applyFill="1" applyBorder="1" applyAlignment="1">
      <alignment horizontal="center" wrapText="1"/>
    </xf>
    <xf numFmtId="0" fontId="66" fillId="0" borderId="4" xfId="0" applyFont="1" applyFill="1" applyBorder="1" applyAlignment="1">
      <alignment wrapText="1"/>
    </xf>
    <xf numFmtId="4" fontId="66" fillId="0" borderId="4" xfId="0" applyNumberFormat="1" applyFont="1" applyFill="1" applyBorder="1" applyAlignment="1" applyProtection="1">
      <alignment horizontal="center" wrapText="1"/>
      <protection locked="0"/>
    </xf>
    <xf numFmtId="168" fontId="66" fillId="0" borderId="4" xfId="2664" applyNumberFormat="1" applyFont="1" applyFill="1" applyBorder="1" applyAlignment="1" applyProtection="1">
      <alignment horizontal="center" wrapText="1"/>
      <protection locked="0"/>
    </xf>
    <xf numFmtId="10" fontId="10" fillId="52" borderId="4" xfId="2664" applyNumberFormat="1" applyFont="1" applyFill="1" applyBorder="1" applyAlignment="1" applyProtection="1">
      <alignment horizontal="center" vertical="center"/>
    </xf>
    <xf numFmtId="171" fontId="10" fillId="52" borderId="4" xfId="0" applyNumberFormat="1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center" wrapText="1"/>
    </xf>
    <xf numFmtId="0" fontId="41" fillId="0" borderId="0" xfId="0" applyFont="1"/>
    <xf numFmtId="0" fontId="41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justify" vertical="top" wrapText="1"/>
    </xf>
    <xf numFmtId="0" fontId="41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wrapText="1"/>
    </xf>
    <xf numFmtId="0" fontId="41" fillId="0" borderId="4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vertical="top" wrapText="1"/>
    </xf>
    <xf numFmtId="4" fontId="15" fillId="0" borderId="4" xfId="0" applyNumberFormat="1" applyFont="1" applyBorder="1" applyAlignment="1">
      <alignment horizontal="center" wrapText="1"/>
    </xf>
    <xf numFmtId="3" fontId="15" fillId="0" borderId="4" xfId="0" applyNumberFormat="1" applyFont="1" applyBorder="1" applyAlignment="1">
      <alignment horizontal="center" wrapText="1"/>
    </xf>
    <xf numFmtId="3" fontId="0" fillId="0" borderId="4" xfId="0" applyNumberFormat="1" applyBorder="1"/>
    <xf numFmtId="167" fontId="41" fillId="0" borderId="4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9" fontId="0" fillId="0" borderId="4" xfId="0" applyNumberFormat="1" applyBorder="1" applyAlignment="1">
      <alignment wrapText="1"/>
    </xf>
    <xf numFmtId="166" fontId="10" fillId="61" borderId="4" xfId="0" applyNumberFormat="1" applyFont="1" applyFill="1" applyBorder="1" applyAlignment="1">
      <alignment horizontal="center"/>
    </xf>
    <xf numFmtId="9" fontId="0" fillId="0" borderId="0" xfId="2664" applyFont="1"/>
    <xf numFmtId="49" fontId="11" fillId="0" borderId="4" xfId="0" applyNumberFormat="1" applyFont="1" applyBorder="1"/>
    <xf numFmtId="1" fontId="11" fillId="0" borderId="4" xfId="0" applyNumberFormat="1" applyFont="1" applyFill="1" applyBorder="1" applyAlignment="1" applyProtection="1">
      <alignment horizontal="center" vertical="center" wrapText="1" shrinkToFit="1"/>
    </xf>
    <xf numFmtId="166" fontId="11" fillId="72" borderId="4" xfId="0" applyNumberFormat="1" applyFont="1" applyFill="1" applyBorder="1" applyAlignment="1" applyProtection="1">
      <alignment horizontal="center"/>
    </xf>
    <xf numFmtId="168" fontId="0" fillId="0" borderId="0" xfId="2664" applyNumberFormat="1" applyFont="1"/>
    <xf numFmtId="4" fontId="30" fillId="0" borderId="0" xfId="0" applyNumberFormat="1" applyFont="1"/>
    <xf numFmtId="0" fontId="10" fillId="0" borderId="71" xfId="0" applyFont="1" applyBorder="1"/>
    <xf numFmtId="0" fontId="10" fillId="0" borderId="0" xfId="0" applyFont="1" applyBorder="1"/>
    <xf numFmtId="4" fontId="10" fillId="72" borderId="4" xfId="0" applyNumberFormat="1" applyFont="1" applyFill="1" applyBorder="1" applyAlignment="1" applyProtection="1">
      <alignment horizontal="center" wrapText="1"/>
      <protection locked="0"/>
    </xf>
    <xf numFmtId="4" fontId="10" fillId="72" borderId="4" xfId="0" applyNumberFormat="1" applyFont="1" applyFill="1" applyBorder="1" applyAlignment="1" applyProtection="1">
      <alignment horizontal="center"/>
      <protection locked="0"/>
    </xf>
    <xf numFmtId="171" fontId="10" fillId="72" borderId="4" xfId="0" applyNumberFormat="1" applyFont="1" applyFill="1" applyBorder="1" applyAlignment="1">
      <alignment horizontal="center"/>
    </xf>
    <xf numFmtId="3" fontId="33" fillId="0" borderId="4" xfId="0" applyNumberFormat="1" applyFont="1" applyBorder="1" applyAlignment="1">
      <alignment horizontal="center"/>
    </xf>
    <xf numFmtId="3" fontId="33" fillId="0" borderId="4" xfId="0" applyNumberFormat="1" applyFont="1" applyFill="1" applyBorder="1" applyAlignment="1">
      <alignment horizontal="center"/>
    </xf>
    <xf numFmtId="0" fontId="67" fillId="0" borderId="4" xfId="0" applyFont="1" applyBorder="1" applyProtection="1">
      <protection locked="0"/>
    </xf>
    <xf numFmtId="17" fontId="67" fillId="0" borderId="4" xfId="0" applyNumberFormat="1" applyFont="1" applyBorder="1" applyProtection="1">
      <protection locked="0"/>
    </xf>
    <xf numFmtId="0" fontId="67" fillId="0" borderId="4" xfId="0" applyFont="1" applyBorder="1" applyProtection="1"/>
    <xf numFmtId="167" fontId="67" fillId="0" borderId="4" xfId="0" applyNumberFormat="1" applyFont="1" applyBorder="1" applyProtection="1">
      <protection locked="0"/>
    </xf>
    <xf numFmtId="0" fontId="15" fillId="0" borderId="4" xfId="0" applyFont="1" applyBorder="1"/>
    <xf numFmtId="168" fontId="10" fillId="0" borderId="0" xfId="2664" applyNumberFormat="1" applyFont="1"/>
    <xf numFmtId="0" fontId="0" fillId="0" borderId="0" xfId="0" applyFont="1" applyBorder="1"/>
    <xf numFmtId="0" fontId="0" fillId="72" borderId="4" xfId="0" applyFill="1" applyBorder="1" applyAlignment="1">
      <alignment wrapText="1"/>
    </xf>
    <xf numFmtId="10" fontId="10" fillId="81" borderId="4" xfId="2664" applyNumberFormat="1" applyFont="1" applyFill="1" applyBorder="1" applyAlignment="1" applyProtection="1">
      <alignment horizontal="center"/>
    </xf>
    <xf numFmtId="0" fontId="0" fillId="2" borderId="4" xfId="0" applyFill="1" applyBorder="1" applyAlignment="1">
      <alignment wrapText="1"/>
    </xf>
    <xf numFmtId="3" fontId="32" fillId="61" borderId="4" xfId="0" applyNumberFormat="1" applyFont="1" applyFill="1" applyBorder="1" applyAlignment="1" applyProtection="1">
      <alignment horizontal="center"/>
    </xf>
    <xf numFmtId="3" fontId="32" fillId="61" borderId="4" xfId="0" applyNumberFormat="1" applyFont="1" applyFill="1" applyBorder="1" applyAlignment="1" applyProtection="1">
      <alignment horizontal="center"/>
      <protection locked="0"/>
    </xf>
    <xf numFmtId="9" fontId="11" fillId="72" borderId="4" xfId="2664" applyFont="1" applyFill="1" applyBorder="1" applyAlignment="1" applyProtection="1">
      <alignment horizontal="center"/>
    </xf>
    <xf numFmtId="1" fontId="10" fillId="52" borderId="4" xfId="0" applyNumberFormat="1" applyFont="1" applyFill="1" applyBorder="1" applyAlignment="1" applyProtection="1">
      <alignment horizontal="center" vertical="center" wrapText="1" shrinkToFit="1"/>
    </xf>
    <xf numFmtId="2" fontId="10" fillId="52" borderId="4" xfId="0" applyNumberFormat="1" applyFont="1" applyFill="1" applyBorder="1" applyAlignment="1" applyProtection="1">
      <alignment horizontal="center" vertical="center" wrapText="1" shrinkToFit="1"/>
    </xf>
    <xf numFmtId="167" fontId="10" fillId="52" borderId="4" xfId="0" applyNumberFormat="1" applyFont="1" applyFill="1" applyBorder="1" applyAlignment="1" applyProtection="1">
      <alignment horizontal="center" vertical="center" wrapText="1" shrinkToFit="1"/>
    </xf>
    <xf numFmtId="169" fontId="11" fillId="52" borderId="4" xfId="2664" applyNumberFormat="1" applyFont="1" applyFill="1" applyBorder="1" applyAlignment="1">
      <alignment horizontal="center"/>
    </xf>
    <xf numFmtId="171" fontId="11" fillId="83" borderId="4" xfId="0" applyNumberFormat="1" applyFont="1" applyFill="1" applyBorder="1" applyAlignment="1" applyProtection="1">
      <alignment horizontal="center" wrapText="1"/>
      <protection locked="0"/>
    </xf>
    <xf numFmtId="2" fontId="10" fillId="52" borderId="4" xfId="0" applyNumberFormat="1" applyFont="1" applyFill="1" applyBorder="1" applyProtection="1">
      <protection locked="0"/>
    </xf>
    <xf numFmtId="4" fontId="10" fillId="52" borderId="4" xfId="0" applyNumberFormat="1" applyFont="1" applyFill="1" applyBorder="1" applyAlignment="1" applyProtection="1">
      <protection locked="0"/>
    </xf>
    <xf numFmtId="0" fontId="0" fillId="52" borderId="4" xfId="0" applyFont="1" applyFill="1" applyBorder="1" applyAlignment="1"/>
    <xf numFmtId="4" fontId="11" fillId="52" borderId="4" xfId="0" applyNumberFormat="1" applyFont="1" applyFill="1" applyBorder="1" applyAlignment="1" applyProtection="1">
      <alignment horizontal="center"/>
      <protection locked="0"/>
    </xf>
    <xf numFmtId="0" fontId="157" fillId="0" borderId="0" xfId="717"/>
    <xf numFmtId="0" fontId="67" fillId="0" borderId="0" xfId="717" applyFont="1"/>
    <xf numFmtId="0" fontId="152" fillId="0" borderId="0" xfId="717" applyFont="1"/>
    <xf numFmtId="0" fontId="17" fillId="0" borderId="4" xfId="717" applyFont="1" applyBorder="1"/>
    <xf numFmtId="0" fontId="14" fillId="80" borderId="4" xfId="631" applyFont="1" applyFill="1" applyBorder="1" applyAlignment="1">
      <alignment horizontal="center" vertical="center" wrapText="1"/>
    </xf>
    <xf numFmtId="0" fontId="14" fillId="0" borderId="4" xfId="631" applyFont="1" applyBorder="1" applyAlignment="1">
      <alignment horizontal="center" vertical="center" wrapText="1"/>
    </xf>
    <xf numFmtId="0" fontId="153" fillId="0" borderId="57" xfId="609" applyFont="1" applyBorder="1" applyAlignment="1"/>
    <xf numFmtId="0" fontId="153" fillId="0" borderId="28" xfId="609" applyFont="1" applyBorder="1" applyAlignment="1"/>
    <xf numFmtId="0" fontId="153" fillId="0" borderId="29" xfId="609" applyFont="1" applyBorder="1" applyAlignment="1"/>
    <xf numFmtId="0" fontId="22" fillId="0" borderId="4" xfId="620" applyFont="1" applyBorder="1"/>
    <xf numFmtId="0" fontId="17" fillId="0" borderId="4" xfId="717" applyFont="1" applyBorder="1" applyAlignment="1">
      <alignment horizontal="center" vertical="center"/>
    </xf>
    <xf numFmtId="0" fontId="17" fillId="0" borderId="4" xfId="717" applyFont="1" applyBorder="1" applyAlignment="1">
      <alignment horizontal="left" indent="1"/>
    </xf>
    <xf numFmtId="0" fontId="17" fillId="0" borderId="4" xfId="717" applyFont="1" applyBorder="1" applyAlignment="1">
      <alignment horizontal="center"/>
    </xf>
    <xf numFmtId="198" fontId="17" fillId="80" borderId="4" xfId="2747" applyNumberFormat="1" applyFont="1" applyFill="1" applyBorder="1" applyAlignment="1">
      <alignment horizontal="center" vertical="center"/>
    </xf>
    <xf numFmtId="9" fontId="17" fillId="0" borderId="4" xfId="2666" applyFont="1" applyBorder="1" applyAlignment="1">
      <alignment horizontal="center" vertical="center"/>
    </xf>
    <xf numFmtId="3" fontId="17" fillId="0" borderId="4" xfId="717" applyNumberFormat="1" applyFont="1" applyBorder="1" applyAlignment="1">
      <alignment horizontal="center" vertical="center"/>
    </xf>
    <xf numFmtId="0" fontId="14" fillId="0" borderId="4" xfId="661" applyFont="1" applyBorder="1"/>
    <xf numFmtId="0" fontId="14" fillId="0" borderId="4" xfId="661" applyFont="1" applyBorder="1" applyAlignment="1">
      <alignment horizontal="center"/>
    </xf>
    <xf numFmtId="198" fontId="14" fillId="0" borderId="4" xfId="2747" applyNumberFormat="1" applyFont="1" applyBorder="1" applyAlignment="1">
      <alignment horizontal="center" vertical="center"/>
    </xf>
    <xf numFmtId="9" fontId="14" fillId="0" borderId="4" xfId="661" applyNumberFormat="1" applyFont="1" applyBorder="1" applyAlignment="1">
      <alignment horizontal="center" vertical="center"/>
    </xf>
    <xf numFmtId="3" fontId="14" fillId="0" borderId="4" xfId="2747" applyNumberFormat="1" applyFont="1" applyBorder="1" applyAlignment="1">
      <alignment horizontal="center" vertical="center"/>
    </xf>
    <xf numFmtId="9" fontId="14" fillId="0" borderId="4" xfId="2666" applyFont="1" applyBorder="1" applyAlignment="1">
      <alignment horizontal="center" vertical="center"/>
    </xf>
    <xf numFmtId="0" fontId="14" fillId="0" borderId="4" xfId="631" applyFont="1" applyBorder="1"/>
    <xf numFmtId="0" fontId="14" fillId="0" borderId="4" xfId="631" applyFont="1" applyBorder="1" applyAlignment="1">
      <alignment horizontal="center"/>
    </xf>
    <xf numFmtId="198" fontId="17" fillId="0" borderId="4" xfId="2747" applyNumberFormat="1" applyFont="1" applyBorder="1" applyAlignment="1">
      <alignment horizontal="center" vertical="center"/>
    </xf>
    <xf numFmtId="0" fontId="17" fillId="0" borderId="4" xfId="717" applyFont="1" applyBorder="1" applyAlignment="1">
      <alignment horizontal="left" wrapText="1" indent="1"/>
    </xf>
    <xf numFmtId="0" fontId="153" fillId="0" borderId="4" xfId="609" applyFont="1" applyBorder="1"/>
    <xf numFmtId="0" fontId="153" fillId="0" borderId="4" xfId="609" applyFont="1" applyBorder="1" applyAlignment="1">
      <alignment horizontal="center"/>
    </xf>
    <xf numFmtId="198" fontId="153" fillId="0" borderId="4" xfId="2747" applyNumberFormat="1" applyFont="1" applyBorder="1" applyAlignment="1">
      <alignment horizontal="center" vertical="center"/>
    </xf>
    <xf numFmtId="9" fontId="153" fillId="0" borderId="4" xfId="609" applyNumberFormat="1" applyFont="1" applyBorder="1" applyAlignment="1">
      <alignment horizontal="center" vertical="center"/>
    </xf>
    <xf numFmtId="3" fontId="153" fillId="0" borderId="4" xfId="2747" applyNumberFormat="1" applyFont="1" applyBorder="1" applyAlignment="1">
      <alignment horizontal="center" vertical="center"/>
    </xf>
    <xf numFmtId="9" fontId="153" fillId="0" borderId="4" xfId="2666" applyFont="1" applyBorder="1" applyAlignment="1">
      <alignment horizontal="center" vertical="center"/>
    </xf>
    <xf numFmtId="0" fontId="153" fillId="0" borderId="57" xfId="609" applyFont="1" applyBorder="1"/>
    <xf numFmtId="0" fontId="153" fillId="0" borderId="28" xfId="609" applyFont="1" applyBorder="1" applyAlignment="1">
      <alignment horizontal="center"/>
    </xf>
    <xf numFmtId="0" fontId="17" fillId="0" borderId="28" xfId="717" applyFont="1" applyBorder="1" applyAlignment="1">
      <alignment horizontal="center" vertical="center"/>
    </xf>
    <xf numFmtId="3" fontId="17" fillId="0" borderId="28" xfId="717" applyNumberFormat="1" applyFont="1" applyBorder="1" applyAlignment="1">
      <alignment horizontal="center" vertical="center"/>
    </xf>
    <xf numFmtId="0" fontId="17" fillId="0" borderId="29" xfId="717" applyFont="1" applyBorder="1" applyAlignment="1">
      <alignment horizontal="center" vertical="center"/>
    </xf>
    <xf numFmtId="0" fontId="22" fillId="0" borderId="4" xfId="620" applyFont="1" applyBorder="1" applyAlignment="1">
      <alignment horizontal="center"/>
    </xf>
    <xf numFmtId="0" fontId="17" fillId="0" borderId="4" xfId="717" applyFont="1" applyBorder="1" applyAlignment="1">
      <alignment horizontal="left" wrapText="1"/>
    </xf>
    <xf numFmtId="0" fontId="17" fillId="0" borderId="4" xfId="717" applyFont="1" applyBorder="1" applyAlignment="1">
      <alignment horizontal="center" wrapText="1"/>
    </xf>
    <xf numFmtId="0" fontId="14" fillId="0" borderId="4" xfId="661" applyFont="1" applyBorder="1" applyAlignment="1">
      <alignment wrapText="1"/>
    </xf>
    <xf numFmtId="0" fontId="14" fillId="0" borderId="4" xfId="661" applyFont="1" applyBorder="1" applyAlignment="1">
      <alignment horizontal="center" wrapText="1"/>
    </xf>
    <xf numFmtId="0" fontId="22" fillId="0" borderId="4" xfId="620" applyFont="1" applyBorder="1" applyAlignment="1">
      <alignment wrapText="1"/>
    </xf>
    <xf numFmtId="0" fontId="22" fillId="0" borderId="4" xfId="620" applyFont="1" applyBorder="1" applyAlignment="1">
      <alignment horizontal="center" wrapText="1"/>
    </xf>
    <xf numFmtId="0" fontId="152" fillId="0" borderId="0" xfId="717" applyFont="1" applyAlignment="1">
      <alignment horizontal="center"/>
    </xf>
    <xf numFmtId="0" fontId="14" fillId="72" borderId="4" xfId="511" applyFont="1" applyFill="1" applyBorder="1" applyAlignment="1">
      <alignment horizontal="left" vertical="center"/>
    </xf>
    <xf numFmtId="0" fontId="14" fillId="72" borderId="4" xfId="511" applyFont="1" applyFill="1" applyBorder="1" applyAlignment="1">
      <alignment horizontal="center" vertical="center"/>
    </xf>
    <xf numFmtId="0" fontId="14" fillId="80" borderId="4" xfId="511" applyFont="1" applyFill="1" applyBorder="1" applyAlignment="1">
      <alignment horizontal="center" vertical="center"/>
    </xf>
    <xf numFmtId="0" fontId="14" fillId="72" borderId="4" xfId="511" applyFont="1" applyFill="1" applyBorder="1" applyAlignment="1">
      <alignment horizontal="center" vertical="center" wrapText="1"/>
    </xf>
    <xf numFmtId="3" fontId="17" fillId="80" borderId="4" xfId="2650" applyNumberFormat="1" applyFont="1" applyFill="1" applyBorder="1" applyAlignment="1">
      <alignment horizontal="center" vertical="center"/>
    </xf>
    <xf numFmtId="3" fontId="17" fillId="72" borderId="4" xfId="2650" applyNumberFormat="1" applyFont="1" applyFill="1" applyBorder="1" applyAlignment="1">
      <alignment horizontal="center" vertical="center"/>
    </xf>
    <xf numFmtId="9" fontId="17" fillId="72" borderId="4" xfId="2666" applyFont="1" applyFill="1" applyBorder="1" applyAlignment="1">
      <alignment horizontal="center" vertical="center"/>
    </xf>
    <xf numFmtId="9" fontId="17" fillId="72" borderId="4" xfId="2650" applyNumberFormat="1" applyFont="1" applyFill="1" applyBorder="1" applyAlignment="1">
      <alignment horizontal="center" vertical="center"/>
    </xf>
    <xf numFmtId="3" fontId="14" fillId="0" borderId="4" xfId="631" applyNumberFormat="1" applyFont="1" applyBorder="1" applyAlignment="1">
      <alignment horizontal="center" vertical="center"/>
    </xf>
    <xf numFmtId="3" fontId="14" fillId="72" borderId="4" xfId="631" applyNumberFormat="1" applyFont="1" applyFill="1" applyBorder="1" applyAlignment="1">
      <alignment horizontal="center" vertical="center"/>
    </xf>
    <xf numFmtId="9" fontId="14" fillId="72" borderId="4" xfId="2666" applyFont="1" applyFill="1" applyBorder="1" applyAlignment="1">
      <alignment horizontal="center" vertical="center"/>
    </xf>
    <xf numFmtId="9" fontId="14" fillId="72" borderId="4" xfId="631" applyNumberFormat="1" applyFont="1" applyFill="1" applyBorder="1" applyAlignment="1">
      <alignment horizontal="center" vertical="center"/>
    </xf>
    <xf numFmtId="3" fontId="17" fillId="80" borderId="4" xfId="717" applyNumberFormat="1" applyFont="1" applyFill="1" applyBorder="1" applyAlignment="1">
      <alignment horizontal="center" vertical="center"/>
    </xf>
    <xf numFmtId="3" fontId="17" fillId="72" borderId="4" xfId="717" applyNumberFormat="1" applyFont="1" applyFill="1" applyBorder="1" applyAlignment="1">
      <alignment horizontal="center" vertical="center"/>
    </xf>
    <xf numFmtId="9" fontId="17" fillId="72" borderId="4" xfId="717" applyNumberFormat="1" applyFont="1" applyFill="1" applyBorder="1" applyAlignment="1">
      <alignment horizontal="center" vertical="center"/>
    </xf>
    <xf numFmtId="0" fontId="10" fillId="0" borderId="4" xfId="717" applyFont="1" applyBorder="1" applyAlignment="1">
      <alignment wrapText="1"/>
    </xf>
    <xf numFmtId="3" fontId="10" fillId="80" borderId="4" xfId="717" applyNumberFormat="1" applyFont="1" applyFill="1" applyBorder="1" applyAlignment="1">
      <alignment horizontal="center" vertical="center"/>
    </xf>
    <xf numFmtId="3" fontId="10" fillId="72" borderId="4" xfId="717" applyNumberFormat="1" applyFont="1" applyFill="1" applyBorder="1" applyAlignment="1">
      <alignment horizontal="center" vertical="center"/>
    </xf>
    <xf numFmtId="9" fontId="10" fillId="72" borderId="4" xfId="2666" applyFont="1" applyFill="1" applyBorder="1" applyAlignment="1">
      <alignment horizontal="center" vertical="center"/>
    </xf>
    <xf numFmtId="9" fontId="10" fillId="72" borderId="4" xfId="717" applyNumberFormat="1" applyFont="1" applyFill="1" applyBorder="1" applyAlignment="1">
      <alignment horizontal="center" vertical="center"/>
    </xf>
    <xf numFmtId="3" fontId="17" fillId="61" borderId="4" xfId="717" applyNumberFormat="1" applyFont="1" applyFill="1" applyBorder="1" applyAlignment="1">
      <alignment horizontal="center" vertical="center"/>
    </xf>
    <xf numFmtId="3" fontId="14" fillId="0" borderId="4" xfId="661" applyNumberFormat="1" applyFont="1" applyBorder="1" applyAlignment="1">
      <alignment horizontal="center" vertical="center"/>
    </xf>
    <xf numFmtId="3" fontId="14" fillId="72" borderId="4" xfId="661" applyNumberFormat="1" applyFont="1" applyFill="1" applyBorder="1" applyAlignment="1">
      <alignment horizontal="center" vertical="center"/>
    </xf>
    <xf numFmtId="9" fontId="14" fillId="72" borderId="4" xfId="66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29" fillId="0" borderId="64" xfId="0" applyFont="1" applyBorder="1" applyAlignment="1">
      <alignment horizontal="justify" vertical="top" wrapText="1"/>
    </xf>
    <xf numFmtId="0" fontId="30" fillId="0" borderId="4" xfId="0" applyFont="1" applyBorder="1"/>
    <xf numFmtId="0" fontId="14" fillId="0" borderId="4" xfId="0" applyFont="1" applyFill="1" applyBorder="1" applyAlignment="1">
      <alignment horizontal="center" wrapText="1"/>
    </xf>
    <xf numFmtId="0" fontId="30" fillId="0" borderId="4" xfId="0" applyFont="1" applyBorder="1" applyAlignment="1">
      <alignment wrapText="1"/>
    </xf>
    <xf numFmtId="166" fontId="10" fillId="3" borderId="4" xfId="0" applyNumberFormat="1" applyFont="1" applyFill="1" applyBorder="1" applyProtection="1">
      <protection locked="0"/>
    </xf>
    <xf numFmtId="166" fontId="10" fillId="57" borderId="4" xfId="0" applyNumberFormat="1" applyFont="1" applyFill="1" applyBorder="1" applyProtection="1">
      <protection locked="0"/>
    </xf>
    <xf numFmtId="166" fontId="10" fillId="3" borderId="4" xfId="604" applyNumberFormat="1" applyFont="1" applyFill="1" applyBorder="1" applyAlignment="1" applyProtection="1">
      <alignment horizontal="right"/>
      <protection locked="0"/>
    </xf>
    <xf numFmtId="171" fontId="19" fillId="86" borderId="4" xfId="2617" applyNumberFormat="1" applyFont="1" applyFill="1" applyBorder="1" applyProtection="1">
      <protection locked="0"/>
    </xf>
    <xf numFmtId="0" fontId="0" fillId="86" borderId="31" xfId="0" applyFill="1" applyBorder="1"/>
    <xf numFmtId="166" fontId="0" fillId="86" borderId="42" xfId="0" applyNumberFormat="1" applyFill="1" applyBorder="1"/>
    <xf numFmtId="0" fontId="10" fillId="0" borderId="19" xfId="719" applyFont="1" applyBorder="1" applyAlignment="1">
      <alignment horizontal="right" vertical="center"/>
    </xf>
    <xf numFmtId="0" fontId="10" fillId="0" borderId="19" xfId="719" applyFont="1" applyBorder="1" applyAlignment="1">
      <alignment vertical="center"/>
    </xf>
    <xf numFmtId="49" fontId="10" fillId="0" borderId="45" xfId="719" applyNumberFormat="1" applyFont="1" applyBorder="1" applyAlignment="1">
      <alignment horizontal="center" vertical="center" wrapText="1"/>
    </xf>
    <xf numFmtId="49" fontId="11" fillId="0" borderId="2" xfId="719" applyNumberFormat="1" applyFont="1" applyBorder="1" applyAlignment="1">
      <alignment horizontal="center" vertical="center" wrapText="1"/>
    </xf>
    <xf numFmtId="49" fontId="10" fillId="0" borderId="2" xfId="719" applyNumberFormat="1" applyFont="1" applyBorder="1" applyAlignment="1">
      <alignment horizontal="center" vertical="center" wrapText="1"/>
    </xf>
    <xf numFmtId="49" fontId="11" fillId="0" borderId="46" xfId="719" applyNumberFormat="1" applyFont="1" applyBorder="1" applyAlignment="1">
      <alignment horizontal="center" vertical="center" wrapText="1"/>
    </xf>
    <xf numFmtId="0" fontId="10" fillId="0" borderId="0" xfId="719" applyFont="1" applyAlignment="1">
      <alignment vertical="center"/>
    </xf>
    <xf numFmtId="0" fontId="6" fillId="0" borderId="0" xfId="719" applyFont="1" applyAlignment="1">
      <alignment vertical="center"/>
    </xf>
    <xf numFmtId="0" fontId="10" fillId="0" borderId="0" xfId="719" applyFont="1" applyBorder="1" applyAlignment="1">
      <alignment vertical="center"/>
    </xf>
    <xf numFmtId="0" fontId="163" fillId="0" borderId="0" xfId="719" applyFont="1" applyAlignment="1">
      <alignment vertical="center"/>
    </xf>
    <xf numFmtId="10" fontId="0" fillId="0" borderId="0" xfId="2668" applyNumberFormat="1" applyFont="1" applyAlignment="1">
      <alignment vertical="center"/>
    </xf>
    <xf numFmtId="166" fontId="6" fillId="0" borderId="0" xfId="719" applyNumberFormat="1" applyFont="1" applyAlignment="1">
      <alignment vertical="center"/>
    </xf>
    <xf numFmtId="1" fontId="6" fillId="0" borderId="0" xfId="719" applyNumberFormat="1" applyFont="1" applyAlignment="1">
      <alignment vertical="center"/>
    </xf>
    <xf numFmtId="166" fontId="11" fillId="52" borderId="4" xfId="0" applyNumberFormat="1" applyFont="1" applyFill="1" applyBorder="1" applyAlignment="1">
      <alignment horizontal="center"/>
    </xf>
    <xf numFmtId="171" fontId="10" fillId="52" borderId="4" xfId="0" applyNumberFormat="1" applyFont="1" applyFill="1" applyBorder="1" applyAlignment="1" applyProtection="1">
      <alignment horizontal="center"/>
      <protection locked="0"/>
    </xf>
    <xf numFmtId="171" fontId="11" fillId="52" borderId="4" xfId="0" applyNumberFormat="1" applyFont="1" applyFill="1" applyBorder="1" applyAlignment="1">
      <alignment horizontal="center"/>
    </xf>
    <xf numFmtId="171" fontId="32" fillId="89" borderId="4" xfId="0" applyNumberFormat="1" applyFont="1" applyFill="1" applyBorder="1" applyAlignment="1">
      <alignment horizontal="center"/>
    </xf>
    <xf numFmtId="171" fontId="32" fillId="0" borderId="0" xfId="0" applyNumberFormat="1" applyFont="1" applyAlignment="1">
      <alignment wrapText="1"/>
    </xf>
    <xf numFmtId="171" fontId="10" fillId="0" borderId="0" xfId="0" applyNumberFormat="1" applyFont="1" applyAlignment="1">
      <alignment wrapText="1"/>
    </xf>
    <xf numFmtId="171" fontId="32" fillId="0" borderId="4" xfId="0" applyNumberFormat="1" applyFont="1" applyBorder="1" applyAlignment="1">
      <alignment horizontal="center" wrapText="1"/>
    </xf>
    <xf numFmtId="171" fontId="33" fillId="0" borderId="4" xfId="2664" applyNumberFormat="1" applyFont="1" applyBorder="1" applyAlignment="1" applyProtection="1">
      <alignment horizontal="center" wrapText="1"/>
      <protection locked="0"/>
    </xf>
    <xf numFmtId="171" fontId="11" fillId="0" borderId="4" xfId="0" applyNumberFormat="1" applyFont="1" applyFill="1" applyBorder="1" applyAlignment="1" applyProtection="1">
      <alignment horizontal="center" wrapText="1"/>
      <protection locked="0"/>
    </xf>
    <xf numFmtId="171" fontId="10" fillId="52" borderId="4" xfId="0" applyNumberFormat="1" applyFont="1" applyFill="1" applyBorder="1" applyAlignment="1" applyProtection="1">
      <alignment horizontal="center" wrapText="1"/>
      <protection locked="0"/>
    </xf>
    <xf numFmtId="171" fontId="32" fillId="52" borderId="4" xfId="2664" applyNumberFormat="1" applyFont="1" applyFill="1" applyBorder="1" applyAlignment="1">
      <alignment horizontal="center"/>
    </xf>
    <xf numFmtId="171" fontId="10" fillId="0" borderId="4" xfId="2664" applyNumberFormat="1" applyFont="1" applyBorder="1" applyAlignment="1" applyProtection="1">
      <alignment horizontal="center" wrapText="1"/>
      <protection locked="0"/>
    </xf>
    <xf numFmtId="171" fontId="10" fillId="72" borderId="4" xfId="0" applyNumberFormat="1" applyFont="1" applyFill="1" applyBorder="1" applyAlignment="1" applyProtection="1">
      <alignment horizontal="center" wrapText="1"/>
      <protection locked="0"/>
    </xf>
    <xf numFmtId="171" fontId="32" fillId="72" borderId="4" xfId="0" applyNumberFormat="1" applyFont="1" applyFill="1" applyBorder="1" applyAlignment="1" applyProtection="1">
      <alignment horizontal="center"/>
    </xf>
    <xf numFmtId="171" fontId="32" fillId="0" borderId="4" xfId="0" applyNumberFormat="1" applyFont="1" applyBorder="1" applyAlignment="1" applyProtection="1">
      <alignment horizontal="center" wrapText="1"/>
      <protection locked="0"/>
    </xf>
    <xf numFmtId="171" fontId="32" fillId="52" borderId="4" xfId="0" applyNumberFormat="1" applyFont="1" applyFill="1" applyBorder="1" applyAlignment="1" applyProtection="1">
      <alignment horizontal="center" wrapText="1"/>
      <protection locked="0"/>
    </xf>
    <xf numFmtId="171" fontId="32" fillId="0" borderId="4" xfId="0" applyNumberFormat="1" applyFont="1" applyFill="1" applyBorder="1" applyAlignment="1" applyProtection="1">
      <alignment horizontal="center"/>
    </xf>
    <xf numFmtId="171" fontId="32" fillId="72" borderId="4" xfId="0" applyNumberFormat="1" applyFont="1" applyFill="1" applyBorder="1" applyAlignment="1" applyProtection="1">
      <alignment horizontal="center" wrapText="1"/>
      <protection locked="0"/>
    </xf>
    <xf numFmtId="171" fontId="32" fillId="0" borderId="4" xfId="0" applyNumberFormat="1" applyFont="1" applyFill="1" applyBorder="1" applyAlignment="1">
      <alignment horizontal="center" wrapText="1"/>
    </xf>
    <xf numFmtId="171" fontId="0" fillId="0" borderId="0" xfId="0" applyNumberFormat="1"/>
    <xf numFmtId="171" fontId="32" fillId="81" borderId="4" xfId="0" applyNumberFormat="1" applyFont="1" applyFill="1" applyBorder="1" applyAlignment="1" applyProtection="1">
      <alignment horizontal="center" wrapText="1"/>
      <protection locked="0"/>
    </xf>
    <xf numFmtId="171" fontId="11" fillId="0" borderId="4" xfId="0" applyNumberFormat="1" applyFont="1" applyFill="1" applyBorder="1" applyAlignment="1" applyProtection="1">
      <alignment horizontal="center"/>
      <protection locked="0"/>
    </xf>
    <xf numFmtId="171" fontId="10" fillId="2" borderId="4" xfId="0" applyNumberFormat="1" applyFont="1" applyFill="1" applyBorder="1" applyAlignment="1" applyProtection="1">
      <alignment horizontal="center" wrapText="1"/>
      <protection locked="0"/>
    </xf>
    <xf numFmtId="171" fontId="10" fillId="0" borderId="4" xfId="0" applyNumberFormat="1" applyFont="1" applyFill="1" applyBorder="1" applyAlignment="1" applyProtection="1">
      <alignment horizontal="center"/>
      <protection locked="0"/>
    </xf>
    <xf numFmtId="171" fontId="32" fillId="2" borderId="4" xfId="0" applyNumberFormat="1" applyFont="1" applyFill="1" applyBorder="1" applyAlignment="1" applyProtection="1">
      <alignment horizontal="center" wrapText="1"/>
      <protection locked="0"/>
    </xf>
    <xf numFmtId="171" fontId="33" fillId="2" borderId="4" xfId="0" applyNumberFormat="1" applyFont="1" applyFill="1" applyBorder="1" applyAlignment="1" applyProtection="1">
      <alignment horizontal="center" wrapText="1"/>
      <protection locked="0"/>
    </xf>
    <xf numFmtId="171" fontId="32" fillId="2" borderId="4" xfId="0" applyNumberFormat="1" applyFont="1" applyFill="1" applyBorder="1" applyAlignment="1">
      <alignment horizontal="center" wrapText="1"/>
    </xf>
    <xf numFmtId="171" fontId="33" fillId="2" borderId="4" xfId="0" applyNumberFormat="1" applyFont="1" applyFill="1" applyBorder="1" applyAlignment="1">
      <alignment horizontal="center" wrapText="1"/>
    </xf>
    <xf numFmtId="171" fontId="33" fillId="0" borderId="4" xfId="0" applyNumberFormat="1" applyFont="1" applyFill="1" applyBorder="1" applyAlignment="1">
      <alignment horizontal="center" wrapText="1"/>
    </xf>
    <xf numFmtId="171" fontId="32" fillId="72" borderId="4" xfId="0" applyNumberFormat="1" applyFont="1" applyFill="1" applyBorder="1" applyAlignment="1">
      <alignment horizontal="center" wrapText="1"/>
    </xf>
    <xf numFmtId="171" fontId="32" fillId="81" borderId="4" xfId="0" applyNumberFormat="1" applyFont="1" applyFill="1" applyBorder="1" applyAlignment="1">
      <alignment horizontal="center" wrapText="1"/>
    </xf>
    <xf numFmtId="171" fontId="32" fillId="0" borderId="4" xfId="2664" applyNumberFormat="1" applyFont="1" applyFill="1" applyBorder="1" applyAlignment="1" applyProtection="1">
      <alignment horizontal="center" wrapText="1"/>
      <protection locked="0"/>
    </xf>
    <xf numFmtId="171" fontId="66" fillId="0" borderId="4" xfId="2664" applyNumberFormat="1" applyFont="1" applyFill="1" applyBorder="1" applyAlignment="1" applyProtection="1">
      <alignment horizontal="center" wrapText="1"/>
      <protection locked="0"/>
    </xf>
    <xf numFmtId="171" fontId="10" fillId="0" borderId="68" xfId="0" applyNumberFormat="1" applyFont="1" applyBorder="1" applyAlignment="1" applyProtection="1">
      <alignment horizontal="center" wrapText="1"/>
      <protection locked="0"/>
    </xf>
    <xf numFmtId="171" fontId="11" fillId="0" borderId="26" xfId="0" applyNumberFormat="1" applyFont="1" applyBorder="1" applyAlignment="1" applyProtection="1">
      <alignment horizontal="center" wrapText="1"/>
      <protection locked="0"/>
    </xf>
    <xf numFmtId="171" fontId="31" fillId="0" borderId="0" xfId="0" applyNumberFormat="1" applyFont="1"/>
    <xf numFmtId="3" fontId="0" fillId="0" borderId="4" xfId="0" applyNumberFormat="1" applyBorder="1" applyAlignment="1">
      <alignment wrapText="1"/>
    </xf>
    <xf numFmtId="0" fontId="12" fillId="0" borderId="4" xfId="0" applyFont="1" applyBorder="1" applyAlignment="1">
      <alignment vertical="center" wrapText="1"/>
    </xf>
    <xf numFmtId="0" fontId="12" fillId="0" borderId="4" xfId="719" applyFont="1" applyBorder="1" applyAlignment="1">
      <alignment vertical="center" wrapText="1"/>
    </xf>
    <xf numFmtId="0" fontId="12" fillId="0" borderId="4" xfId="719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0" fontId="0" fillId="0" borderId="4" xfId="0" applyNumberFormat="1" applyBorder="1" applyAlignment="1">
      <alignment wrapText="1"/>
    </xf>
    <xf numFmtId="10" fontId="0" fillId="0" borderId="0" xfId="0" applyNumberFormat="1"/>
    <xf numFmtId="171" fontId="10" fillId="89" borderId="4" xfId="0" applyNumberFormat="1" applyFont="1" applyFill="1" applyBorder="1" applyAlignment="1" applyProtection="1">
      <alignment horizontal="center" wrapText="1"/>
      <protection locked="0"/>
    </xf>
    <xf numFmtId="0" fontId="12" fillId="0" borderId="4" xfId="0" applyFont="1" applyBorder="1" applyAlignment="1">
      <alignment horizontal="center" vertical="center" wrapText="1"/>
    </xf>
    <xf numFmtId="0" fontId="0" fillId="0" borderId="4" xfId="0" applyBorder="1"/>
    <xf numFmtId="2" fontId="10" fillId="0" borderId="4" xfId="0" applyNumberFormat="1" applyFont="1" applyFill="1" applyBorder="1"/>
    <xf numFmtId="166" fontId="10" fillId="52" borderId="4" xfId="2619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171" fontId="32" fillId="89" borderId="4" xfId="0" applyNumberFormat="1" applyFont="1" applyFill="1" applyBorder="1" applyAlignment="1" applyProtection="1">
      <alignment horizontal="center" wrapText="1"/>
      <protection locked="0"/>
    </xf>
    <xf numFmtId="3" fontId="32" fillId="89" borderId="4" xfId="0" applyNumberFormat="1" applyFont="1" applyFill="1" applyBorder="1" applyAlignment="1" applyProtection="1">
      <alignment horizontal="center"/>
    </xf>
    <xf numFmtId="170" fontId="41" fillId="89" borderId="4" xfId="0" applyNumberFormat="1" applyFont="1" applyFill="1" applyBorder="1" applyAlignment="1" applyProtection="1">
      <alignment horizontal="center" wrapText="1"/>
      <protection locked="0"/>
    </xf>
    <xf numFmtId="0" fontId="34" fillId="0" borderId="4" xfId="0" applyFont="1" applyBorder="1" applyAlignment="1">
      <alignment wrapText="1"/>
    </xf>
    <xf numFmtId="0" fontId="15" fillId="0" borderId="4" xfId="0" applyFont="1" applyBorder="1" applyAlignment="1" applyProtection="1">
      <alignment horizontal="left" vertical="center" wrapText="1" shrinkToFit="1"/>
    </xf>
    <xf numFmtId="49" fontId="15" fillId="0" borderId="4" xfId="0" applyNumberFormat="1" applyFont="1" applyBorder="1" applyAlignment="1" applyProtection="1">
      <alignment horizontal="left" vertical="center" wrapText="1" shrinkToFit="1"/>
    </xf>
    <xf numFmtId="1" fontId="15" fillId="52" borderId="4" xfId="0" applyNumberFormat="1" applyFont="1" applyFill="1" applyBorder="1" applyAlignment="1" applyProtection="1">
      <alignment horizontal="center" vertical="center" wrapText="1" shrinkToFit="1"/>
    </xf>
    <xf numFmtId="2" fontId="15" fillId="52" borderId="4" xfId="0" applyNumberFormat="1" applyFont="1" applyFill="1" applyBorder="1" applyAlignment="1" applyProtection="1">
      <alignment horizontal="center" vertical="center" wrapText="1" shrinkToFit="1"/>
    </xf>
    <xf numFmtId="1" fontId="15" fillId="89" borderId="4" xfId="0" applyNumberFormat="1" applyFont="1" applyFill="1" applyBorder="1" applyAlignment="1" applyProtection="1">
      <alignment horizontal="center" vertical="center" wrapText="1" shrinkToFit="1"/>
    </xf>
    <xf numFmtId="0" fontId="15" fillId="89" borderId="4" xfId="0" applyFont="1" applyFill="1" applyBorder="1"/>
    <xf numFmtId="166" fontId="11" fillId="0" borderId="4" xfId="0" applyNumberFormat="1" applyFont="1" applyFill="1" applyBorder="1" applyAlignment="1" applyProtection="1">
      <alignment horizontal="center" vertical="center" wrapText="1" shrinkToFit="1"/>
    </xf>
    <xf numFmtId="166" fontId="15" fillId="52" borderId="4" xfId="0" applyNumberFormat="1" applyFont="1" applyFill="1" applyBorder="1" applyAlignment="1" applyProtection="1">
      <alignment horizontal="center" vertical="center" wrapText="1" shrinkToFit="1"/>
    </xf>
    <xf numFmtId="0" fontId="15" fillId="89" borderId="4" xfId="0" applyFont="1" applyFill="1" applyBorder="1" applyAlignment="1" applyProtection="1">
      <alignment horizontal="center" vertical="center" wrapText="1" shrinkToFit="1"/>
    </xf>
    <xf numFmtId="166" fontId="15" fillId="89" borderId="4" xfId="0" applyNumberFormat="1" applyFont="1" applyFill="1" applyBorder="1" applyAlignment="1" applyProtection="1">
      <alignment horizontal="center" vertical="center" wrapText="1" shrinkToFit="1"/>
    </xf>
    <xf numFmtId="0" fontId="29" fillId="0" borderId="0" xfId="0" applyFont="1" applyAlignment="1">
      <alignment horizontal="center"/>
    </xf>
    <xf numFmtId="0" fontId="45" fillId="0" borderId="26" xfId="0" applyFont="1" applyBorder="1" applyAlignment="1">
      <alignment horizontal="center" vertical="center" wrapText="1"/>
    </xf>
    <xf numFmtId="0" fontId="0" fillId="0" borderId="0" xfId="0"/>
    <xf numFmtId="0" fontId="35" fillId="0" borderId="0" xfId="0" applyFont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 applyProtection="1">
      <alignment horizontal="center" wrapText="1"/>
    </xf>
    <xf numFmtId="0" fontId="24" fillId="0" borderId="0" xfId="2620" applyFont="1" applyBorder="1" applyAlignment="1">
      <alignment horizontal="center" wrapText="1"/>
    </xf>
    <xf numFmtId="0" fontId="0" fillId="0" borderId="4" xfId="0" applyBorder="1"/>
    <xf numFmtId="0" fontId="164" fillId="3" borderId="4" xfId="2620" applyFont="1" applyFill="1" applyBorder="1" applyAlignment="1" applyProtection="1">
      <alignment horizontal="center" vertical="center" wrapText="1"/>
      <protection locked="0"/>
    </xf>
    <xf numFmtId="169" fontId="164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165" fillId="3" borderId="4" xfId="2620" applyFont="1" applyFill="1" applyBorder="1" applyAlignment="1" applyProtection="1">
      <alignment horizontal="center" vertical="center" wrapText="1"/>
      <protection locked="0"/>
    </xf>
    <xf numFmtId="2" fontId="8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33" fillId="0" borderId="4" xfId="0" applyFont="1" applyFill="1" applyBorder="1" applyAlignment="1">
      <alignment wrapText="1"/>
    </xf>
    <xf numFmtId="171" fontId="11" fillId="72" borderId="4" xfId="0" applyNumberFormat="1" applyFont="1" applyFill="1" applyBorder="1" applyAlignment="1" applyProtection="1">
      <alignment horizontal="center"/>
    </xf>
    <xf numFmtId="166" fontId="10" fillId="52" borderId="4" xfId="0" applyNumberFormat="1" applyFont="1" applyFill="1" applyBorder="1"/>
    <xf numFmtId="166" fontId="10" fillId="72" borderId="4" xfId="0" applyNumberFormat="1" applyFont="1" applyFill="1" applyBorder="1"/>
    <xf numFmtId="166" fontId="10" fillId="0" borderId="4" xfId="0" applyNumberFormat="1" applyFont="1" applyBorder="1"/>
    <xf numFmtId="166" fontId="11" fillId="0" borderId="4" xfId="0" applyNumberFormat="1" applyFont="1" applyBorder="1"/>
    <xf numFmtId="0" fontId="49" fillId="0" borderId="0" xfId="2775" applyNumberFormat="1" applyFont="1" applyFill="1" applyBorder="1" applyAlignment="1" applyProtection="1">
      <alignment vertical="top"/>
    </xf>
    <xf numFmtId="0" fontId="49" fillId="0" borderId="0" xfId="2775" applyNumberFormat="1" applyFont="1" applyFill="1" applyBorder="1" applyAlignment="1" applyProtection="1">
      <alignment horizontal="center" vertical="top"/>
    </xf>
    <xf numFmtId="0" fontId="49" fillId="0" borderId="4" xfId="2775" applyNumberFormat="1" applyFont="1" applyFill="1" applyBorder="1" applyAlignment="1" applyProtection="1">
      <alignment vertical="top"/>
    </xf>
    <xf numFmtId="2" fontId="49" fillId="0" borderId="4" xfId="2775" applyNumberFormat="1" applyFont="1" applyFill="1" applyBorder="1" applyAlignment="1" applyProtection="1">
      <alignment horizontal="center" vertical="top"/>
    </xf>
    <xf numFmtId="2" fontId="49" fillId="0" borderId="4" xfId="2775" applyNumberFormat="1" applyFont="1" applyFill="1" applyBorder="1" applyAlignment="1" applyProtection="1">
      <alignment vertical="top"/>
    </xf>
    <xf numFmtId="0" fontId="49" fillId="0" borderId="4" xfId="2775" applyNumberFormat="1" applyFont="1" applyFill="1" applyBorder="1" applyAlignment="1" applyProtection="1">
      <alignment horizontal="center" vertical="top"/>
    </xf>
    <xf numFmtId="0" fontId="49" fillId="0" borderId="4" xfId="2775" applyNumberFormat="1" applyFont="1" applyFill="1" applyBorder="1" applyAlignment="1" applyProtection="1">
      <alignment horizontal="left" vertical="top"/>
    </xf>
    <xf numFmtId="166" fontId="49" fillId="0" borderId="4" xfId="2775" applyNumberFormat="1" applyFont="1" applyFill="1" applyBorder="1" applyAlignment="1" applyProtection="1">
      <alignment vertical="top"/>
    </xf>
    <xf numFmtId="166" fontId="49" fillId="0" borderId="4" xfId="2775" applyNumberFormat="1" applyFont="1" applyFill="1" applyBorder="1" applyAlignment="1" applyProtection="1">
      <alignment horizontal="center" vertical="top"/>
    </xf>
    <xf numFmtId="167" fontId="49" fillId="0" borderId="4" xfId="2775" applyNumberFormat="1" applyFont="1" applyFill="1" applyBorder="1" applyAlignment="1" applyProtection="1">
      <alignment vertical="top"/>
    </xf>
    <xf numFmtId="166" fontId="49" fillId="0" borderId="0" xfId="2775" applyNumberFormat="1" applyFont="1" applyFill="1" applyBorder="1" applyAlignment="1" applyProtection="1">
      <alignment vertical="top"/>
    </xf>
    <xf numFmtId="0" fontId="167" fillId="0" borderId="4" xfId="2775" applyNumberFormat="1" applyFont="1" applyFill="1" applyBorder="1" applyAlignment="1" applyProtection="1">
      <alignment horizontal="right" vertical="top"/>
    </xf>
    <xf numFmtId="167" fontId="49" fillId="0" borderId="4" xfId="2775" applyNumberFormat="1" applyFont="1" applyFill="1" applyBorder="1" applyAlignment="1" applyProtection="1">
      <alignment horizontal="center" vertical="top"/>
    </xf>
    <xf numFmtId="167" fontId="49" fillId="0" borderId="0" xfId="2775" applyNumberFormat="1" applyFont="1" applyFill="1" applyBorder="1" applyAlignment="1" applyProtection="1">
      <alignment vertical="top"/>
    </xf>
    <xf numFmtId="0" fontId="49" fillId="0" borderId="0" xfId="2775" applyNumberFormat="1" applyFont="1" applyFill="1" applyBorder="1" applyAlignment="1" applyProtection="1">
      <alignment horizontal="left" vertical="top"/>
    </xf>
    <xf numFmtId="166" fontId="27" fillId="0" borderId="4" xfId="2775" applyNumberFormat="1" applyFont="1" applyFill="1" applyBorder="1" applyAlignment="1" applyProtection="1">
      <alignment horizontal="center" vertical="top"/>
    </xf>
    <xf numFmtId="171" fontId="10" fillId="52" borderId="4" xfId="0" applyNumberFormat="1" applyFont="1" applyFill="1" applyBorder="1" applyProtection="1">
      <protection locked="0"/>
    </xf>
    <xf numFmtId="169" fontId="10" fillId="0" borderId="0" xfId="0" applyNumberFormat="1" applyFont="1"/>
    <xf numFmtId="166" fontId="10" fillId="52" borderId="4" xfId="0" applyNumberFormat="1" applyFont="1" applyFill="1" applyBorder="1" applyProtection="1">
      <protection locked="0"/>
    </xf>
    <xf numFmtId="3" fontId="0" fillId="0" borderId="0" xfId="0" applyNumberFormat="1"/>
    <xf numFmtId="0" fontId="10" fillId="0" borderId="4" xfId="2621" applyNumberFormat="1" applyFont="1" applyBorder="1" applyAlignment="1">
      <alignment horizontal="center"/>
    </xf>
    <xf numFmtId="172" fontId="32" fillId="52" borderId="4" xfId="0" applyNumberFormat="1" applyFont="1" applyFill="1" applyBorder="1" applyAlignment="1" applyProtection="1">
      <alignment horizontal="center" wrapText="1"/>
      <protection locked="0"/>
    </xf>
    <xf numFmtId="0" fontId="0" fillId="0" borderId="4" xfId="0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10" fillId="0" borderId="4" xfId="2621" applyNumberFormat="1" applyFont="1" applyBorder="1" applyAlignment="1">
      <alignment horizontal="center" vertical="center"/>
    </xf>
    <xf numFmtId="171" fontId="10" fillId="52" borderId="4" xfId="0" applyNumberFormat="1" applyFont="1" applyFill="1" applyBorder="1" applyAlignment="1" applyProtection="1">
      <alignment horizontal="center" vertical="center"/>
    </xf>
    <xf numFmtId="199" fontId="0" fillId="0" borderId="0" xfId="0" applyNumberFormat="1"/>
    <xf numFmtId="166" fontId="0" fillId="0" borderId="0" xfId="0" applyNumberFormat="1"/>
    <xf numFmtId="0" fontId="168" fillId="0" borderId="0" xfId="0" applyFont="1"/>
    <xf numFmtId="3" fontId="32" fillId="89" borderId="4" xfId="0" applyNumberFormat="1" applyFont="1" applyFill="1" applyBorder="1" applyAlignment="1" applyProtection="1">
      <alignment horizontal="center"/>
      <protection locked="0"/>
    </xf>
    <xf numFmtId="3" fontId="32" fillId="89" borderId="4" xfId="0" applyNumberFormat="1" applyFont="1" applyFill="1" applyBorder="1" applyAlignment="1" applyProtection="1">
      <alignment horizontal="center" wrapText="1"/>
      <protection locked="0"/>
    </xf>
    <xf numFmtId="1" fontId="49" fillId="0" borderId="4" xfId="2775" applyNumberFormat="1" applyFont="1" applyFill="1" applyBorder="1" applyAlignment="1" applyProtection="1">
      <alignment vertical="top"/>
    </xf>
    <xf numFmtId="171" fontId="0" fillId="0" borderId="4" xfId="0" applyNumberFormat="1" applyBorder="1" applyAlignment="1">
      <alignment wrapText="1"/>
    </xf>
    <xf numFmtId="0" fontId="29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/>
    </xf>
    <xf numFmtId="0" fontId="29" fillId="0" borderId="4" xfId="0" applyFont="1" applyBorder="1" applyAlignment="1">
      <alignment horizontal="center" wrapText="1"/>
    </xf>
    <xf numFmtId="0" fontId="29" fillId="0" borderId="0" xfId="0" applyFont="1" applyAlignment="1">
      <alignment horizontal="center" vertical="top"/>
    </xf>
    <xf numFmtId="0" fontId="45" fillId="0" borderId="4" xfId="0" applyFont="1" applyBorder="1" applyAlignment="1">
      <alignment horizontal="center" vertical="top" wrapText="1"/>
    </xf>
    <xf numFmtId="0" fontId="45" fillId="0" borderId="26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 vertical="top"/>
    </xf>
    <xf numFmtId="0" fontId="29" fillId="0" borderId="0" xfId="0" applyFont="1" applyAlignment="1"/>
    <xf numFmtId="0" fontId="45" fillId="0" borderId="4" xfId="0" applyFont="1" applyBorder="1" applyAlignment="1">
      <alignment horizontal="center" vertical="center" textRotation="90" wrapText="1"/>
    </xf>
    <xf numFmtId="0" fontId="45" fillId="0" borderId="27" xfId="0" applyFont="1" applyBorder="1" applyAlignment="1">
      <alignment horizontal="center" vertical="center" textRotation="90" wrapText="1"/>
    </xf>
    <xf numFmtId="0" fontId="29" fillId="0" borderId="0" xfId="719" applyFont="1" applyAlignment="1">
      <alignment horizontal="left"/>
    </xf>
    <xf numFmtId="4" fontId="29" fillId="0" borderId="0" xfId="0" applyNumberFormat="1" applyFont="1" applyAlignment="1">
      <alignment horizontal="center"/>
    </xf>
    <xf numFmtId="4" fontId="29" fillId="0" borderId="4" xfId="0" applyNumberFormat="1" applyFont="1" applyBorder="1" applyAlignment="1">
      <alignment horizontal="center"/>
    </xf>
    <xf numFmtId="3" fontId="29" fillId="0" borderId="4" xfId="0" applyNumberFormat="1" applyFont="1" applyBorder="1" applyAlignment="1">
      <alignment horizontal="center"/>
    </xf>
    <xf numFmtId="9" fontId="29" fillId="0" borderId="4" xfId="0" applyNumberFormat="1" applyFont="1" applyBorder="1" applyAlignment="1">
      <alignment horizontal="center" vertical="top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right" vertical="top"/>
    </xf>
    <xf numFmtId="0" fontId="19" fillId="0" borderId="0" xfId="2620" applyAlignment="1">
      <alignment horizontal="right" textRotation="180"/>
    </xf>
    <xf numFmtId="0" fontId="19" fillId="0" borderId="0" xfId="2617" applyAlignment="1">
      <alignment horizontal="right" textRotation="180"/>
    </xf>
    <xf numFmtId="0" fontId="10" fillId="0" borderId="0" xfId="0" applyNumberFormat="1" applyFont="1" applyFill="1" applyBorder="1" applyAlignment="1" applyProtection="1">
      <alignment horizontal="right" textRotation="180"/>
      <protection locked="0"/>
    </xf>
    <xf numFmtId="166" fontId="10" fillId="3" borderId="27" xfId="604" applyNumberFormat="1" applyFont="1" applyFill="1" applyBorder="1" applyAlignment="1" applyProtection="1">
      <alignment horizontal="right"/>
      <protection locked="0"/>
    </xf>
    <xf numFmtId="166" fontId="15" fillId="89" borderId="4" xfId="0" applyNumberFormat="1" applyFont="1" applyFill="1" applyBorder="1" applyAlignment="1">
      <alignment horizontal="center"/>
    </xf>
    <xf numFmtId="0" fontId="166" fillId="0" borderId="0" xfId="2621" applyFont="1" applyBorder="1"/>
    <xf numFmtId="0" fontId="10" fillId="0" borderId="0" xfId="2775" applyNumberFormat="1" applyFont="1" applyFill="1" applyBorder="1" applyAlignment="1" applyProtection="1">
      <alignment horizontal="right" vertical="top"/>
    </xf>
    <xf numFmtId="169" fontId="27" fillId="0" borderId="0" xfId="2775" applyNumberFormat="1" applyFont="1" applyFill="1" applyBorder="1" applyAlignment="1" applyProtection="1">
      <alignment horizontal="center" vertical="top"/>
    </xf>
    <xf numFmtId="0" fontId="10" fillId="0" borderId="0" xfId="0" applyFont="1" applyAlignment="1">
      <alignment horizontal="right" textRotation="180"/>
    </xf>
    <xf numFmtId="166" fontId="29" fillId="0" borderId="4" xfId="0" applyNumberFormat="1" applyFont="1" applyBorder="1"/>
    <xf numFmtId="0" fontId="30" fillId="0" borderId="0" xfId="0" applyFont="1" applyAlignment="1">
      <alignment horizontal="right" vertical="top"/>
    </xf>
    <xf numFmtId="0" fontId="11" fillId="0" borderId="0" xfId="0" applyFont="1" applyBorder="1" applyAlignment="1" applyProtection="1">
      <alignment horizontal="right" vertical="top" wrapText="1"/>
      <protection locked="0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 vertical="top"/>
    </xf>
    <xf numFmtId="0" fontId="35" fillId="52" borderId="4" xfId="0" applyFont="1" applyFill="1" applyBorder="1" applyAlignment="1" applyProtection="1">
      <alignment horizontal="center" vertical="center" wrapText="1" shrinkToFit="1"/>
    </xf>
    <xf numFmtId="0" fontId="35" fillId="0" borderId="4" xfId="0" applyFont="1" applyFill="1" applyBorder="1" applyAlignment="1" applyProtection="1">
      <alignment horizontal="center" vertical="center" wrapText="1"/>
      <protection locked="0" hidden="1"/>
    </xf>
    <xf numFmtId="0" fontId="29" fillId="0" borderId="4" xfId="0" applyFont="1" applyBorder="1" applyAlignment="1" applyProtection="1">
      <alignment horizontal="center" vertical="center" wrapText="1" shrinkToFit="1"/>
    </xf>
    <xf numFmtId="0" fontId="29" fillId="0" borderId="4" xfId="0" applyFont="1" applyFill="1" applyBorder="1" applyAlignment="1" applyProtection="1">
      <alignment horizontal="center" vertical="center" wrapText="1" shrinkToFit="1"/>
    </xf>
    <xf numFmtId="3" fontId="29" fillId="52" borderId="4" xfId="0" applyNumberFormat="1" applyFont="1" applyFill="1" applyBorder="1"/>
    <xf numFmtId="0" fontId="35" fillId="0" borderId="4" xfId="0" applyFont="1" applyBorder="1" applyAlignment="1">
      <alignment wrapText="1"/>
    </xf>
    <xf numFmtId="3" fontId="35" fillId="0" borderId="4" xfId="0" applyNumberFormat="1" applyFont="1" applyBorder="1"/>
    <xf numFmtId="0" fontId="0" fillId="0" borderId="0" xfId="0" applyFont="1" applyAlignment="1">
      <alignment horizontal="right" vertical="top"/>
    </xf>
    <xf numFmtId="0" fontId="19" fillId="0" borderId="0" xfId="2620" applyAlignment="1">
      <alignment horizontal="right" vertical="top"/>
    </xf>
    <xf numFmtId="0" fontId="0" fillId="0" borderId="0" xfId="0"/>
    <xf numFmtId="0" fontId="0" fillId="0" borderId="0" xfId="0"/>
    <xf numFmtId="9" fontId="33" fillId="0" borderId="4" xfId="2664" applyFont="1" applyFill="1" applyBorder="1" applyAlignment="1" applyProtection="1">
      <alignment horizontal="center"/>
      <protection locked="0"/>
    </xf>
    <xf numFmtId="0" fontId="171" fillId="3" borderId="4" xfId="2620" applyFont="1" applyFill="1" applyBorder="1" applyAlignment="1" applyProtection="1">
      <alignment horizontal="center" vertical="center" wrapText="1"/>
      <protection locked="0"/>
    </xf>
    <xf numFmtId="0" fontId="8" fillId="0" borderId="4" xfId="2620" applyFont="1" applyBorder="1" applyAlignment="1">
      <alignment horizontal="center" vertical="center" wrapText="1"/>
    </xf>
    <xf numFmtId="0" fontId="19" fillId="0" borderId="26" xfId="2620" applyBorder="1" applyAlignment="1">
      <alignment horizontal="center" vertical="center" wrapText="1"/>
    </xf>
    <xf numFmtId="0" fontId="19" fillId="0" borderId="4" xfId="2620" applyBorder="1" applyAlignment="1">
      <alignment horizontal="center" vertical="center" wrapText="1"/>
    </xf>
    <xf numFmtId="0" fontId="19" fillId="0" borderId="4" xfId="2620" applyBorder="1" applyAlignment="1">
      <alignment horizontal="center" vertical="center"/>
    </xf>
    <xf numFmtId="0" fontId="19" fillId="0" borderId="30" xfId="2620" applyBorder="1" applyAlignment="1">
      <alignment horizontal="center" vertical="center" wrapText="1"/>
    </xf>
    <xf numFmtId="0" fontId="19" fillId="0" borderId="27" xfId="2620" applyBorder="1" applyAlignment="1">
      <alignment horizontal="center" vertical="center" wrapText="1"/>
    </xf>
    <xf numFmtId="0" fontId="11" fillId="52" borderId="4" xfId="0" applyFont="1" applyFill="1" applyBorder="1" applyAlignment="1" applyProtection="1">
      <alignment horizontal="center" vertical="center" wrapText="1" shrinkToFit="1"/>
    </xf>
    <xf numFmtId="0" fontId="35" fillId="52" borderId="4" xfId="0" applyFont="1" applyFill="1" applyBorder="1" applyAlignment="1" applyProtection="1">
      <alignment horizontal="center" vertical="center" wrapText="1" shrinkToFit="1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/>
    <xf numFmtId="0" fontId="0" fillId="0" borderId="4" xfId="0" applyBorder="1" applyAlignment="1">
      <alignment wrapText="1"/>
    </xf>
    <xf numFmtId="0" fontId="19" fillId="3" borderId="4" xfId="2620" applyFont="1" applyFill="1" applyBorder="1" applyAlignment="1" applyProtection="1">
      <alignment horizontal="center" vertical="center" wrapText="1"/>
      <protection locked="0"/>
    </xf>
    <xf numFmtId="2" fontId="172" fillId="72" borderId="4" xfId="0" applyNumberFormat="1" applyFont="1" applyFill="1" applyBorder="1" applyAlignment="1" applyProtection="1">
      <alignment horizontal="center"/>
    </xf>
    <xf numFmtId="166" fontId="172" fillId="72" borderId="4" xfId="0" applyNumberFormat="1" applyFont="1" applyFill="1" applyBorder="1" applyAlignment="1" applyProtection="1">
      <alignment horizontal="center"/>
    </xf>
    <xf numFmtId="167" fontId="172" fillId="72" borderId="4" xfId="0" applyNumberFormat="1" applyFont="1" applyFill="1" applyBorder="1" applyAlignment="1" applyProtection="1">
      <alignment horizontal="center"/>
    </xf>
    <xf numFmtId="0" fontId="11" fillId="72" borderId="4" xfId="0" applyFont="1" applyFill="1" applyBorder="1" applyAlignment="1">
      <alignment wrapText="1"/>
    </xf>
    <xf numFmtId="169" fontId="8" fillId="3" borderId="4" xfId="2620" applyNumberFormat="1" applyFont="1" applyFill="1" applyBorder="1" applyAlignment="1" applyProtection="1">
      <alignment horizontal="center" vertical="center" wrapText="1"/>
      <protection locked="0"/>
    </xf>
    <xf numFmtId="0" fontId="164" fillId="3" borderId="27" xfId="262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0" fillId="0" borderId="4" xfId="0" applyBorder="1" applyAlignment="1">
      <alignment wrapText="1"/>
    </xf>
    <xf numFmtId="166" fontId="10" fillId="0" borderId="0" xfId="0" applyNumberFormat="1" applyFont="1"/>
    <xf numFmtId="166" fontId="15" fillId="89" borderId="4" xfId="0" applyNumberFormat="1" applyFont="1" applyFill="1" applyBorder="1"/>
    <xf numFmtId="4" fontId="32" fillId="72" borderId="4" xfId="0" applyNumberFormat="1" applyFont="1" applyFill="1" applyBorder="1" applyAlignment="1" applyProtection="1">
      <alignment horizontal="center"/>
    </xf>
    <xf numFmtId="166" fontId="32" fillId="89" borderId="4" xfId="2664" applyNumberFormat="1" applyFont="1" applyFill="1" applyBorder="1" applyAlignment="1" applyProtection="1">
      <alignment horizontal="center"/>
      <protection locked="0"/>
    </xf>
    <xf numFmtId="169" fontId="35" fillId="0" borderId="4" xfId="0" applyNumberFormat="1" applyFont="1" applyBorder="1"/>
    <xf numFmtId="4" fontId="10" fillId="0" borderId="4" xfId="0" applyNumberFormat="1" applyFont="1" applyBorder="1"/>
    <xf numFmtId="4" fontId="32" fillId="0" borderId="4" xfId="0" applyNumberFormat="1" applyFont="1" applyFill="1" applyBorder="1" applyAlignment="1" applyProtection="1">
      <alignment horizontal="center"/>
    </xf>
    <xf numFmtId="4" fontId="32" fillId="52" borderId="4" xfId="0" applyNumberFormat="1" applyFont="1" applyFill="1" applyBorder="1" applyAlignment="1" applyProtection="1">
      <alignment horizontal="center"/>
      <protection locked="0"/>
    </xf>
    <xf numFmtId="4" fontId="32" fillId="72" borderId="4" xfId="0" applyNumberFormat="1" applyFont="1" applyFill="1" applyBorder="1" applyAlignment="1" applyProtection="1">
      <alignment horizontal="center" wrapText="1"/>
    </xf>
    <xf numFmtId="4" fontId="32" fillId="52" borderId="4" xfId="0" applyNumberFormat="1" applyFont="1" applyFill="1" applyBorder="1" applyAlignment="1" applyProtection="1">
      <alignment horizontal="center" wrapText="1"/>
      <protection locked="0"/>
    </xf>
    <xf numFmtId="4" fontId="32" fillId="0" borderId="4" xfId="0" applyNumberFormat="1" applyFont="1" applyFill="1" applyBorder="1" applyAlignment="1">
      <alignment horizontal="center" wrapText="1"/>
    </xf>
    <xf numFmtId="4" fontId="32" fillId="2" borderId="4" xfId="0" applyNumberFormat="1" applyFont="1" applyFill="1" applyBorder="1" applyAlignment="1" applyProtection="1">
      <alignment horizontal="center" wrapText="1"/>
      <protection locked="0"/>
    </xf>
    <xf numFmtId="4" fontId="32" fillId="2" borderId="4" xfId="0" applyNumberFormat="1" applyFont="1" applyFill="1" applyBorder="1" applyAlignment="1">
      <alignment horizontal="center" wrapText="1"/>
    </xf>
    <xf numFmtId="4" fontId="32" fillId="81" borderId="4" xfId="0" applyNumberFormat="1" applyFont="1" applyFill="1" applyBorder="1" applyAlignment="1">
      <alignment horizontal="center"/>
    </xf>
    <xf numFmtId="4" fontId="32" fillId="73" borderId="4" xfId="0" applyNumberFormat="1" applyFont="1" applyFill="1" applyBorder="1" applyAlignment="1" applyProtection="1">
      <alignment horizontal="center"/>
    </xf>
    <xf numFmtId="0" fontId="11" fillId="52" borderId="4" xfId="0" applyFont="1" applyFill="1" applyBorder="1" applyAlignment="1" applyProtection="1">
      <alignment horizontal="center" vertical="center" wrapText="1" shrinkToFit="1"/>
    </xf>
    <xf numFmtId="0" fontId="0" fillId="0" borderId="0" xfId="0"/>
    <xf numFmtId="9" fontId="173" fillId="0" borderId="0" xfId="2664" applyFont="1"/>
    <xf numFmtId="0" fontId="173" fillId="0" borderId="0" xfId="0" applyFont="1"/>
    <xf numFmtId="10" fontId="173" fillId="0" borderId="0" xfId="0" applyNumberFormat="1" applyFont="1"/>
    <xf numFmtId="0" fontId="11" fillId="52" borderId="4" xfId="0" applyFont="1" applyFill="1" applyBorder="1" applyAlignment="1" applyProtection="1">
      <alignment horizontal="center" vertical="center" wrapText="1" shrinkToFit="1"/>
    </xf>
    <xf numFmtId="167" fontId="18" fillId="72" borderId="4" xfId="604" applyNumberFormat="1" applyFont="1" applyFill="1" applyBorder="1" applyAlignment="1" applyProtection="1">
      <alignment horizontal="center"/>
      <protection locked="0"/>
    </xf>
    <xf numFmtId="0" fontId="10" fillId="0" borderId="19" xfId="719" applyFont="1" applyBorder="1" applyAlignment="1">
      <alignment horizontal="center" vertical="center"/>
    </xf>
    <xf numFmtId="9" fontId="0" fillId="0" borderId="0" xfId="0" applyNumberFormat="1"/>
    <xf numFmtId="0" fontId="0" fillId="0" borderId="0" xfId="0" applyNumberFormat="1"/>
    <xf numFmtId="0" fontId="32" fillId="0" borderId="4" xfId="0" applyNumberFormat="1" applyFont="1" applyBorder="1" applyAlignment="1">
      <alignment horizontal="center" wrapText="1"/>
    </xf>
    <xf numFmtId="171" fontId="174" fillId="52" borderId="4" xfId="0" applyNumberFormat="1" applyFont="1" applyFill="1" applyBorder="1" applyAlignment="1" applyProtection="1">
      <alignment horizontal="center" wrapText="1"/>
      <protection locked="0"/>
    </xf>
    <xf numFmtId="0" fontId="15" fillId="89" borderId="4" xfId="0" applyFont="1" applyFill="1" applyBorder="1" applyAlignment="1">
      <alignment horizontal="center"/>
    </xf>
    <xf numFmtId="0" fontId="49" fillId="0" borderId="0" xfId="2776"/>
    <xf numFmtId="0" fontId="14" fillId="0" borderId="0" xfId="828" applyFont="1" applyAlignment="1">
      <alignment horizontal="center" vertical="top"/>
    </xf>
    <xf numFmtId="0" fontId="27" fillId="0" borderId="0" xfId="2776" applyFont="1"/>
    <xf numFmtId="0" fontId="49" fillId="0" borderId="4" xfId="2776" applyBorder="1" applyAlignment="1">
      <alignment horizontal="center" vertical="center" textRotation="90" wrapText="1"/>
    </xf>
    <xf numFmtId="0" fontId="49" fillId="0" borderId="4" xfId="2776" applyBorder="1"/>
    <xf numFmtId="167" fontId="49" fillId="0" borderId="4" xfId="2776" applyNumberFormat="1" applyBorder="1"/>
    <xf numFmtId="0" fontId="27" fillId="0" borderId="4" xfId="2776" applyFont="1" applyBorder="1"/>
    <xf numFmtId="0" fontId="175" fillId="0" borderId="4" xfId="2776" applyFont="1" applyBorder="1"/>
    <xf numFmtId="0" fontId="49" fillId="0" borderId="4" xfId="2776" applyBorder="1" applyAlignment="1">
      <alignment horizontal="center"/>
    </xf>
    <xf numFmtId="0" fontId="49" fillId="0" borderId="4" xfId="2776" applyBorder="1" applyAlignment="1">
      <alignment vertical="center" wrapText="1"/>
    </xf>
    <xf numFmtId="0" fontId="175" fillId="0" borderId="4" xfId="2776" applyFont="1" applyBorder="1" applyAlignment="1">
      <alignment horizontal="center"/>
    </xf>
    <xf numFmtId="0" fontId="15" fillId="0" borderId="4" xfId="828" applyFont="1" applyFill="1" applyBorder="1" applyAlignment="1" applyProtection="1">
      <alignment horizontal="left" vertical="center" wrapText="1"/>
      <protection locked="0"/>
    </xf>
    <xf numFmtId="0" fontId="49" fillId="0" borderId="0" xfId="2776" applyBorder="1" applyAlignment="1">
      <alignment horizontal="center"/>
    </xf>
    <xf numFmtId="1" fontId="49" fillId="0" borderId="0" xfId="2776" applyNumberFormat="1" applyBorder="1" applyAlignment="1">
      <alignment horizontal="center"/>
    </xf>
    <xf numFmtId="167" fontId="49" fillId="0" borderId="0" xfId="2776" applyNumberFormat="1"/>
    <xf numFmtId="10" fontId="17" fillId="0" borderId="52" xfId="2664" applyNumberFormat="1" applyFont="1" applyBorder="1" applyAlignment="1"/>
    <xf numFmtId="49" fontId="10" fillId="0" borderId="0" xfId="719" applyNumberFormat="1" applyFont="1" applyBorder="1" applyAlignment="1">
      <alignment horizontal="center" vertical="center"/>
    </xf>
    <xf numFmtId="0" fontId="10" fillId="0" borderId="0" xfId="719" applyNumberFormat="1" applyFont="1" applyBorder="1" applyAlignment="1">
      <alignment vertical="center"/>
    </xf>
    <xf numFmtId="0" fontId="10" fillId="0" borderId="0" xfId="719" applyFont="1" applyBorder="1" applyAlignment="1">
      <alignment horizontal="left" vertical="center"/>
    </xf>
    <xf numFmtId="200" fontId="10" fillId="0" borderId="0" xfId="719" applyNumberFormat="1" applyFont="1" applyBorder="1" applyAlignment="1">
      <alignment vertical="center"/>
    </xf>
    <xf numFmtId="166" fontId="10" fillId="0" borderId="0" xfId="719" applyNumberFormat="1" applyFont="1" applyBorder="1" applyAlignment="1">
      <alignment vertical="center"/>
    </xf>
    <xf numFmtId="0" fontId="10" fillId="0" borderId="106" xfId="719" applyFont="1" applyBorder="1" applyAlignment="1">
      <alignment vertical="center"/>
    </xf>
    <xf numFmtId="200" fontId="10" fillId="0" borderId="106" xfId="719" applyNumberFormat="1" applyFont="1" applyBorder="1" applyAlignment="1">
      <alignment vertical="center"/>
    </xf>
    <xf numFmtId="0" fontId="11" fillId="0" borderId="0" xfId="719" applyFont="1" applyFill="1" applyAlignment="1">
      <alignment vertical="center"/>
    </xf>
    <xf numFmtId="0" fontId="10" fillId="0" borderId="0" xfId="719" applyFont="1" applyFill="1" applyAlignment="1">
      <alignment vertical="center"/>
    </xf>
    <xf numFmtId="0" fontId="11" fillId="0" borderId="0" xfId="719" applyFont="1" applyAlignment="1">
      <alignment vertical="center"/>
    </xf>
    <xf numFmtId="0" fontId="11" fillId="0" borderId="0" xfId="719" applyFont="1" applyAlignment="1">
      <alignment vertical="center" wrapText="1"/>
    </xf>
    <xf numFmtId="171" fontId="19" fillId="0" borderId="0" xfId="2617" applyNumberFormat="1"/>
    <xf numFmtId="1" fontId="19" fillId="0" borderId="31" xfId="2617" applyNumberFormat="1" applyFont="1" applyBorder="1"/>
    <xf numFmtId="1" fontId="19" fillId="3" borderId="32" xfId="2617" applyNumberFormat="1" applyFont="1" applyFill="1" applyBorder="1" applyProtection="1">
      <protection locked="0"/>
    </xf>
    <xf numFmtId="1" fontId="19" fillId="0" borderId="41" xfId="2617" applyNumberFormat="1" applyFont="1" applyBorder="1"/>
    <xf numFmtId="3" fontId="19" fillId="0" borderId="0" xfId="2617" applyNumberFormat="1"/>
    <xf numFmtId="0" fontId="10" fillId="72" borderId="0" xfId="0" applyFont="1" applyFill="1" applyBorder="1" applyAlignment="1">
      <alignment horizontal="center"/>
    </xf>
    <xf numFmtId="166" fontId="10" fillId="72" borderId="4" xfId="0" applyNumberFormat="1" applyFont="1" applyFill="1" applyBorder="1" applyAlignment="1">
      <alignment horizontal="center"/>
    </xf>
    <xf numFmtId="167" fontId="19" fillId="0" borderId="0" xfId="2617" applyNumberFormat="1" applyFont="1"/>
    <xf numFmtId="167" fontId="10" fillId="0" borderId="0" xfId="0" applyNumberFormat="1" applyFont="1" applyProtection="1">
      <protection locked="0"/>
    </xf>
    <xf numFmtId="201" fontId="10" fillId="0" borderId="0" xfId="0" applyNumberFormat="1" applyFont="1" applyProtection="1">
      <protection locked="0"/>
    </xf>
    <xf numFmtId="0" fontId="0" fillId="0" borderId="4" xfId="0" applyBorder="1"/>
    <xf numFmtId="0" fontId="0" fillId="0" borderId="0" xfId="0"/>
    <xf numFmtId="0" fontId="3" fillId="0" borderId="0" xfId="2777"/>
    <xf numFmtId="0" fontId="12" fillId="0" borderId="0" xfId="2778" applyFont="1" applyBorder="1" applyAlignment="1">
      <alignment horizontal="right" vertical="center" wrapText="1"/>
    </xf>
    <xf numFmtId="0" fontId="13" fillId="0" borderId="0" xfId="2778" applyFont="1" applyBorder="1" applyAlignment="1">
      <alignment horizontal="center" vertical="center" wrapText="1"/>
    </xf>
    <xf numFmtId="0" fontId="12" fillId="0" borderId="0" xfId="2778" applyFont="1" applyBorder="1" applyAlignment="1">
      <alignment horizontal="center" vertical="center" wrapText="1"/>
    </xf>
    <xf numFmtId="0" fontId="12" fillId="0" borderId="0" xfId="2778" applyFont="1" applyBorder="1" applyAlignment="1">
      <alignment horizontal="left" vertical="center" wrapText="1"/>
    </xf>
    <xf numFmtId="0" fontId="12" fillId="0" borderId="0" xfId="719" applyFont="1" applyBorder="1" applyAlignment="1">
      <alignment horizontal="center" vertical="center" wrapText="1"/>
    </xf>
    <xf numFmtId="0" fontId="12" fillId="0" borderId="0" xfId="2778" applyFont="1" applyBorder="1" applyAlignment="1">
      <alignment vertical="center" wrapText="1"/>
    </xf>
    <xf numFmtId="0" fontId="12" fillId="0" borderId="0" xfId="2778" applyFont="1" applyAlignment="1">
      <alignment horizontal="center" vertical="center" wrapText="1"/>
    </xf>
    <xf numFmtId="49" fontId="13" fillId="0" borderId="0" xfId="2778" applyNumberFormat="1" applyFont="1" applyFill="1" applyBorder="1" applyAlignment="1" applyProtection="1">
      <alignment horizontal="center" vertical="center"/>
    </xf>
    <xf numFmtId="0" fontId="15" fillId="0" borderId="0" xfId="2778" applyFont="1" applyAlignment="1">
      <alignment horizontal="center" vertical="center" wrapText="1"/>
    </xf>
    <xf numFmtId="0" fontId="15" fillId="90" borderId="4" xfId="719" applyFont="1" applyFill="1" applyBorder="1" applyAlignment="1">
      <alignment horizontal="center" vertical="center" wrapText="1"/>
    </xf>
    <xf numFmtId="0" fontId="177" fillId="90" borderId="4" xfId="2778" applyFont="1" applyFill="1" applyBorder="1"/>
    <xf numFmtId="0" fontId="178" fillId="0" borderId="0" xfId="2778" applyFont="1" applyAlignment="1">
      <alignment horizontal="center" vertical="center" wrapText="1"/>
    </xf>
    <xf numFmtId="0" fontId="15" fillId="90" borderId="27" xfId="719" applyFont="1" applyFill="1" applyBorder="1" applyAlignment="1">
      <alignment horizontal="center" vertical="center" wrapText="1"/>
    </xf>
    <xf numFmtId="0" fontId="177" fillId="90" borderId="0" xfId="2778" applyFont="1" applyFill="1"/>
    <xf numFmtId="0" fontId="15" fillId="90" borderId="4" xfId="719" applyFont="1" applyFill="1" applyBorder="1" applyAlignment="1">
      <alignment vertical="center" wrapText="1"/>
    </xf>
    <xf numFmtId="0" fontId="12" fillId="0" borderId="4" xfId="2778" applyFont="1" applyBorder="1" applyAlignment="1">
      <alignment horizontal="left" vertical="center" wrapText="1"/>
    </xf>
    <xf numFmtId="0" fontId="6" fillId="0" borderId="0" xfId="2778"/>
    <xf numFmtId="0" fontId="178" fillId="87" borderId="0" xfId="2778" applyFont="1" applyFill="1" applyAlignment="1">
      <alignment horizontal="center" vertical="center" wrapText="1"/>
    </xf>
    <xf numFmtId="0" fontId="178" fillId="87" borderId="4" xfId="719" applyFont="1" applyFill="1" applyBorder="1" applyAlignment="1">
      <alignment horizontal="center" vertical="center" wrapText="1"/>
    </xf>
    <xf numFmtId="0" fontId="178" fillId="87" borderId="4" xfId="719" applyFont="1" applyFill="1" applyBorder="1" applyAlignment="1">
      <alignment vertical="center" wrapText="1"/>
    </xf>
    <xf numFmtId="0" fontId="12" fillId="0" borderId="4" xfId="2778" applyFont="1" applyBorder="1" applyAlignment="1">
      <alignment horizontal="center" vertical="center" wrapText="1"/>
    </xf>
    <xf numFmtId="49" fontId="12" fillId="0" borderId="4" xfId="2778" applyNumberFormat="1" applyFont="1" applyBorder="1" applyAlignment="1">
      <alignment horizontal="center" vertical="center" wrapText="1"/>
    </xf>
    <xf numFmtId="0" fontId="12" fillId="0" borderId="26" xfId="719" applyFont="1" applyBorder="1" applyAlignment="1">
      <alignment horizontal="center" vertical="center" wrapText="1"/>
    </xf>
    <xf numFmtId="0" fontId="15" fillId="87" borderId="4" xfId="2778" applyFont="1" applyFill="1" applyBorder="1" applyAlignment="1">
      <alignment horizontal="left" vertical="center" wrapText="1"/>
    </xf>
    <xf numFmtId="0" fontId="15" fillId="87" borderId="4" xfId="719" applyFont="1" applyFill="1" applyBorder="1" applyAlignment="1">
      <alignment horizontal="center" vertical="center" wrapText="1"/>
    </xf>
    <xf numFmtId="0" fontId="177" fillId="90" borderId="4" xfId="2778" applyFont="1" applyFill="1" applyBorder="1" applyAlignment="1">
      <alignment horizontal="left"/>
    </xf>
    <xf numFmtId="0" fontId="179" fillId="0" borderId="0" xfId="2778" applyFont="1" applyAlignment="1">
      <alignment horizontal="center" vertical="center" wrapText="1"/>
    </xf>
    <xf numFmtId="0" fontId="15" fillId="0" borderId="4" xfId="2778" applyFont="1" applyBorder="1" applyAlignment="1">
      <alignment horizontal="center" vertical="center" wrapText="1"/>
    </xf>
    <xf numFmtId="0" fontId="15" fillId="0" borderId="4" xfId="719" applyFont="1" applyBorder="1" applyAlignment="1">
      <alignment horizontal="center" vertical="center" wrapText="1"/>
    </xf>
    <xf numFmtId="0" fontId="15" fillId="0" borderId="4" xfId="719" applyFont="1" applyBorder="1" applyAlignment="1">
      <alignment vertical="center" wrapText="1"/>
    </xf>
    <xf numFmtId="0" fontId="178" fillId="0" borderId="4" xfId="719" applyFont="1" applyBorder="1" applyAlignment="1">
      <alignment horizontal="center" vertical="center" wrapText="1"/>
    </xf>
    <xf numFmtId="0" fontId="178" fillId="0" borderId="4" xfId="719" applyFont="1" applyBorder="1" applyAlignment="1">
      <alignment vertical="center" wrapText="1"/>
    </xf>
    <xf numFmtId="0" fontId="15" fillId="0" borderId="4" xfId="2778" applyFont="1" applyBorder="1" applyAlignment="1">
      <alignment horizontal="left" vertical="center" wrapText="1"/>
    </xf>
    <xf numFmtId="49" fontId="15" fillId="0" borderId="4" xfId="2778" applyNumberFormat="1" applyFont="1" applyBorder="1" applyAlignment="1">
      <alignment horizontal="center" vertical="center" wrapText="1"/>
    </xf>
    <xf numFmtId="0" fontId="15" fillId="87" borderId="4" xfId="719" applyFont="1" applyFill="1" applyBorder="1" applyAlignment="1">
      <alignment vertical="center" wrapText="1"/>
    </xf>
    <xf numFmtId="0" fontId="181" fillId="0" borderId="0" xfId="2777" applyFont="1"/>
    <xf numFmtId="0" fontId="15" fillId="90" borderId="4" xfId="719" applyFont="1" applyFill="1" applyBorder="1" applyAlignment="1"/>
    <xf numFmtId="0" fontId="15" fillId="90" borderId="29" xfId="719" applyFont="1" applyFill="1" applyBorder="1" applyAlignment="1"/>
    <xf numFmtId="0" fontId="176" fillId="0" borderId="0" xfId="2777" applyFont="1"/>
    <xf numFmtId="0" fontId="13" fillId="0" borderId="0" xfId="2778" applyNumberFormat="1" applyFont="1" applyFill="1" applyBorder="1" applyAlignment="1" applyProtection="1">
      <alignment horizontal="center" vertical="center"/>
    </xf>
    <xf numFmtId="0" fontId="176" fillId="87" borderId="0" xfId="2777" applyFont="1" applyFill="1"/>
    <xf numFmtId="0" fontId="179" fillId="87" borderId="4" xfId="719" applyFont="1" applyFill="1" applyBorder="1" applyAlignment="1">
      <alignment horizontal="center" vertical="center" wrapText="1"/>
    </xf>
    <xf numFmtId="0" fontId="179" fillId="87" borderId="4" xfId="719" applyFont="1" applyFill="1" applyBorder="1" applyAlignment="1">
      <alignment vertical="center" wrapText="1"/>
    </xf>
    <xf numFmtId="0" fontId="29" fillId="90" borderId="4" xfId="719" applyFont="1" applyFill="1" applyBorder="1" applyAlignment="1">
      <alignment horizontal="center" vertical="center" wrapText="1"/>
    </xf>
    <xf numFmtId="0" fontId="29" fillId="90" borderId="4" xfId="719" applyFont="1" applyFill="1" applyBorder="1" applyAlignment="1">
      <alignment vertical="center" wrapText="1"/>
    </xf>
    <xf numFmtId="0" fontId="29" fillId="87" borderId="4" xfId="719" applyFont="1" applyFill="1" applyBorder="1" applyAlignment="1">
      <alignment horizontal="center" vertical="center" wrapText="1"/>
    </xf>
    <xf numFmtId="0" fontId="29" fillId="87" borderId="4" xfId="719" applyFont="1" applyFill="1" applyBorder="1" applyAlignment="1">
      <alignment vertical="center" wrapText="1"/>
    </xf>
    <xf numFmtId="0" fontId="29" fillId="90" borderId="4" xfId="719" applyFont="1" applyFill="1" applyBorder="1" applyAlignment="1">
      <alignment horizontal="left" vertical="center" wrapText="1"/>
    </xf>
    <xf numFmtId="0" fontId="29" fillId="90" borderId="29" xfId="719" applyFont="1" applyFill="1" applyBorder="1" applyAlignment="1"/>
    <xf numFmtId="0" fontId="12" fillId="87" borderId="0" xfId="2778" applyFont="1" applyFill="1" applyAlignment="1">
      <alignment horizontal="center" vertical="center" wrapText="1"/>
    </xf>
    <xf numFmtId="0" fontId="182" fillId="0" borderId="0" xfId="2778" applyFont="1" applyAlignment="1">
      <alignment horizontal="center" vertical="center" wrapText="1"/>
    </xf>
    <xf numFmtId="0" fontId="168" fillId="90" borderId="4" xfId="2778" applyFont="1" applyFill="1" applyBorder="1" applyAlignment="1">
      <alignment horizontal="center" vertical="center"/>
    </xf>
    <xf numFmtId="0" fontId="168" fillId="90" borderId="4" xfId="2778" applyFont="1" applyFill="1" applyBorder="1"/>
    <xf numFmtId="0" fontId="11" fillId="0" borderId="0" xfId="2778" applyFont="1" applyAlignment="1">
      <alignment horizontal="center" vertical="center" wrapText="1"/>
    </xf>
    <xf numFmtId="0" fontId="10" fillId="0" borderId="0" xfId="2778" applyFont="1" applyFill="1" applyAlignment="1">
      <alignment horizontal="center" vertical="center" wrapText="1"/>
    </xf>
    <xf numFmtId="0" fontId="15" fillId="87" borderId="71" xfId="2778" applyFont="1" applyFill="1" applyBorder="1" applyAlignment="1">
      <alignment horizontal="center" vertical="center" wrapText="1"/>
    </xf>
    <xf numFmtId="0" fontId="12" fillId="87" borderId="71" xfId="2778" applyFont="1" applyFill="1" applyBorder="1" applyAlignment="1">
      <alignment horizontal="center" vertical="center" wrapText="1"/>
    </xf>
    <xf numFmtId="0" fontId="3" fillId="87" borderId="0" xfId="2777" applyFill="1" applyAlignment="1"/>
    <xf numFmtId="0" fontId="178" fillId="87" borderId="71" xfId="2778" applyFont="1" applyFill="1" applyBorder="1" applyAlignment="1">
      <alignment horizontal="center" vertical="center" wrapText="1"/>
    </xf>
    <xf numFmtId="0" fontId="176" fillId="0" borderId="0" xfId="2777" applyFont="1" applyAlignment="1"/>
    <xf numFmtId="0" fontId="6" fillId="0" borderId="0" xfId="2778" applyAlignment="1"/>
    <xf numFmtId="0" fontId="11" fillId="0" borderId="0" xfId="2778" applyFont="1" applyAlignment="1">
      <alignment vertical="center" wrapText="1"/>
    </xf>
    <xf numFmtId="0" fontId="12" fillId="0" borderId="4" xfId="2778" applyFont="1" applyBorder="1" applyAlignment="1">
      <alignment vertical="center" wrapText="1"/>
    </xf>
    <xf numFmtId="0" fontId="29" fillId="90" borderId="57" xfId="2778" applyFont="1" applyFill="1" applyBorder="1" applyAlignment="1">
      <alignment vertical="center" wrapText="1"/>
    </xf>
    <xf numFmtId="0" fontId="29" fillId="90" borderId="4" xfId="2778" applyFont="1" applyFill="1" applyBorder="1" applyAlignment="1">
      <alignment vertical="center" wrapText="1"/>
    </xf>
    <xf numFmtId="0" fontId="29" fillId="87" borderId="4" xfId="2778" applyFont="1" applyFill="1" applyBorder="1" applyAlignment="1">
      <alignment vertical="center" wrapText="1"/>
    </xf>
    <xf numFmtId="0" fontId="15" fillId="90" borderId="57" xfId="2778" applyFont="1" applyFill="1" applyBorder="1" applyAlignment="1">
      <alignment vertical="center" wrapText="1"/>
    </xf>
    <xf numFmtId="0" fontId="12" fillId="87" borderId="57" xfId="2778" applyFont="1" applyFill="1" applyBorder="1" applyAlignment="1">
      <alignment vertical="center" wrapText="1"/>
    </xf>
    <xf numFmtId="0" fontId="182" fillId="87" borderId="57" xfId="2778" applyFont="1" applyFill="1" applyBorder="1" applyAlignment="1">
      <alignment vertical="center" wrapText="1"/>
    </xf>
    <xf numFmtId="0" fontId="15" fillId="90" borderId="4" xfId="2778" applyFont="1" applyFill="1" applyBorder="1" applyAlignment="1">
      <alignment vertical="center" wrapText="1"/>
    </xf>
    <xf numFmtId="0" fontId="15" fillId="0" borderId="4" xfId="2778" applyFont="1" applyBorder="1" applyAlignment="1">
      <alignment vertical="center" wrapText="1"/>
    </xf>
    <xf numFmtId="0" fontId="15" fillId="87" borderId="4" xfId="2778" applyFont="1" applyFill="1" applyBorder="1" applyAlignment="1">
      <alignment vertical="center" wrapText="1"/>
    </xf>
    <xf numFmtId="0" fontId="15" fillId="0" borderId="57" xfId="2778" applyFont="1" applyBorder="1" applyAlignment="1">
      <alignment vertical="center" wrapText="1"/>
    </xf>
    <xf numFmtId="0" fontId="178" fillId="0" borderId="4" xfId="2778" applyFont="1" applyBorder="1" applyAlignment="1">
      <alignment vertical="center" wrapText="1"/>
    </xf>
    <xf numFmtId="0" fontId="12" fillId="0" borderId="26" xfId="2778" applyFont="1" applyBorder="1" applyAlignment="1">
      <alignment vertical="center" wrapText="1"/>
    </xf>
    <xf numFmtId="2" fontId="15" fillId="90" borderId="4" xfId="2778" applyNumberFormat="1" applyFont="1" applyFill="1" applyBorder="1" applyAlignment="1">
      <alignment vertical="center" wrapText="1"/>
    </xf>
    <xf numFmtId="0" fontId="178" fillId="87" borderId="4" xfId="2778" applyFont="1" applyFill="1" applyBorder="1" applyAlignment="1">
      <alignment vertical="center" wrapText="1"/>
    </xf>
    <xf numFmtId="4" fontId="15" fillId="90" borderId="4" xfId="2778" applyNumberFormat="1" applyFont="1" applyFill="1" applyBorder="1" applyAlignment="1">
      <alignment vertical="center" wrapText="1"/>
    </xf>
    <xf numFmtId="0" fontId="15" fillId="90" borderId="27" xfId="2778" applyFont="1" applyFill="1" applyBorder="1" applyAlignment="1">
      <alignment vertical="center" wrapText="1"/>
    </xf>
    <xf numFmtId="0" fontId="3" fillId="0" borderId="0" xfId="2777" applyAlignment="1"/>
    <xf numFmtId="0" fontId="19" fillId="0" borderId="4" xfId="2620" applyBorder="1" applyAlignment="1">
      <alignment horizontal="center" vertical="center"/>
    </xf>
    <xf numFmtId="0" fontId="19" fillId="0" borderId="4" xfId="2620" applyBorder="1" applyAlignment="1">
      <alignment horizontal="center" vertical="center" wrapText="1"/>
    </xf>
    <xf numFmtId="0" fontId="19" fillId="0" borderId="30" xfId="2620" applyBorder="1" applyAlignment="1">
      <alignment horizontal="center" vertical="center" wrapText="1"/>
    </xf>
    <xf numFmtId="0" fontId="19" fillId="0" borderId="0" xfId="2620" applyAlignment="1">
      <alignment horizontal="center" vertical="center" wrapText="1"/>
    </xf>
    <xf numFmtId="0" fontId="19" fillId="0" borderId="26" xfId="2620" applyBorder="1" applyAlignment="1">
      <alignment horizontal="center" vertical="center" wrapText="1"/>
    </xf>
    <xf numFmtId="0" fontId="19" fillId="0" borderId="27" xfId="2620" applyBorder="1" applyAlignment="1">
      <alignment horizontal="center" vertical="center" wrapText="1"/>
    </xf>
    <xf numFmtId="0" fontId="12" fillId="0" borderId="0" xfId="2778" applyFont="1" applyBorder="1" applyAlignment="1">
      <alignment horizontal="left" vertical="center" wrapText="1"/>
    </xf>
    <xf numFmtId="0" fontId="6" fillId="0" borderId="0" xfId="2778" applyBorder="1"/>
    <xf numFmtId="0" fontId="6" fillId="0" borderId="0" xfId="2778" applyFill="1"/>
    <xf numFmtId="0" fontId="11" fillId="0" borderId="0" xfId="2778" applyFont="1" applyFill="1" applyAlignment="1">
      <alignment horizontal="center" vertical="center" wrapText="1"/>
    </xf>
    <xf numFmtId="0" fontId="12" fillId="0" borderId="4" xfId="2778" applyFont="1" applyFill="1" applyBorder="1" applyAlignment="1">
      <alignment horizontal="center" vertical="center" wrapText="1"/>
    </xf>
    <xf numFmtId="0" fontId="168" fillId="0" borderId="4" xfId="2778" applyFont="1" applyFill="1" applyBorder="1"/>
    <xf numFmtId="0" fontId="29" fillId="0" borderId="4" xfId="719" applyFont="1" applyFill="1" applyBorder="1" applyAlignment="1">
      <alignment vertical="center" wrapText="1"/>
    </xf>
    <xf numFmtId="0" fontId="29" fillId="0" borderId="29" xfId="719" applyFont="1" applyFill="1" applyBorder="1" applyAlignment="1"/>
    <xf numFmtId="0" fontId="29" fillId="0" borderId="4" xfId="719" applyFont="1" applyFill="1" applyBorder="1" applyAlignment="1">
      <alignment horizontal="left" vertical="center" wrapText="1"/>
    </xf>
    <xf numFmtId="0" fontId="179" fillId="0" borderId="4" xfId="719" applyFont="1" applyFill="1" applyBorder="1" applyAlignment="1">
      <alignment vertical="center" wrapText="1"/>
    </xf>
    <xf numFmtId="0" fontId="15" fillId="0" borderId="4" xfId="719" applyFont="1" applyFill="1" applyBorder="1" applyAlignment="1">
      <alignment vertical="center" wrapText="1"/>
    </xf>
    <xf numFmtId="0" fontId="15" fillId="0" borderId="4" xfId="2778" applyFont="1" applyFill="1" applyBorder="1" applyAlignment="1">
      <alignment horizontal="center" vertical="center" wrapText="1"/>
    </xf>
    <xf numFmtId="0" fontId="12" fillId="0" borderId="0" xfId="2778" applyFont="1" applyFill="1" applyBorder="1" applyAlignment="1">
      <alignment vertical="center" wrapText="1"/>
    </xf>
    <xf numFmtId="0" fontId="12" fillId="0" borderId="0" xfId="2778" applyFont="1" applyFill="1" applyBorder="1" applyAlignment="1">
      <alignment horizontal="center" vertical="center" wrapText="1"/>
    </xf>
    <xf numFmtId="0" fontId="12" fillId="0" borderId="0" xfId="2778" applyFont="1" applyFill="1" applyBorder="1" applyAlignment="1">
      <alignment horizontal="left" vertical="center" wrapText="1"/>
    </xf>
    <xf numFmtId="0" fontId="12" fillId="0" borderId="0" xfId="2778" applyFont="1" applyFill="1" applyBorder="1" applyAlignment="1">
      <alignment horizontal="right" vertical="center" wrapText="1"/>
    </xf>
    <xf numFmtId="0" fontId="3" fillId="0" borderId="0" xfId="2777" applyFill="1"/>
    <xf numFmtId="2" fontId="170" fillId="0" borderId="0" xfId="2778" applyNumberFormat="1" applyFont="1" applyBorder="1" applyAlignment="1">
      <alignment horizontal="center" vertical="center" wrapText="1"/>
    </xf>
    <xf numFmtId="0" fontId="6" fillId="0" borderId="4" xfId="713" applyBorder="1" applyAlignment="1">
      <alignment horizontal="center" vertical="top" wrapText="1"/>
    </xf>
    <xf numFmtId="0" fontId="6" fillId="0" borderId="0" xfId="713"/>
    <xf numFmtId="0" fontId="6" fillId="0" borderId="4" xfId="713" applyBorder="1"/>
    <xf numFmtId="0" fontId="6" fillId="0" borderId="4" xfId="713" applyBorder="1" applyAlignment="1">
      <alignment horizontal="center"/>
    </xf>
    <xf numFmtId="0" fontId="6" fillId="0" borderId="26" xfId="713" applyBorder="1" applyAlignment="1">
      <alignment horizontal="center"/>
    </xf>
    <xf numFmtId="0" fontId="6" fillId="0" borderId="26" xfId="713" applyBorder="1"/>
    <xf numFmtId="0" fontId="6" fillId="0" borderId="82" xfId="713" applyBorder="1"/>
    <xf numFmtId="3" fontId="6" fillId="0" borderId="26" xfId="713" applyNumberFormat="1" applyBorder="1"/>
    <xf numFmtId="0" fontId="6" fillId="0" borderId="0" xfId="713" applyAlignment="1">
      <alignment horizontal="center"/>
    </xf>
    <xf numFmtId="0" fontId="6" fillId="0" borderId="29" xfId="713" applyBorder="1"/>
    <xf numFmtId="3" fontId="6" fillId="0" borderId="4" xfId="713" applyNumberFormat="1" applyBorder="1"/>
    <xf numFmtId="0" fontId="185" fillId="0" borderId="4" xfId="713" applyFont="1" applyBorder="1"/>
    <xf numFmtId="3" fontId="11" fillId="0" borderId="4" xfId="713" applyNumberFormat="1" applyFont="1" applyFill="1" applyBorder="1" applyAlignment="1" applyProtection="1">
      <alignment horizontal="center" wrapText="1"/>
      <protection locked="0"/>
    </xf>
    <xf numFmtId="3" fontId="32" fillId="0" borderId="4" xfId="713" applyNumberFormat="1" applyFont="1" applyFill="1" applyBorder="1" applyAlignment="1" applyProtection="1">
      <alignment horizontal="center"/>
    </xf>
    <xf numFmtId="2" fontId="6" fillId="0" borderId="4" xfId="713" applyNumberFormat="1" applyBorder="1" applyAlignment="1">
      <alignment horizontal="center"/>
    </xf>
    <xf numFmtId="0" fontId="6" fillId="0" borderId="54" xfId="713" applyBorder="1"/>
    <xf numFmtId="0" fontId="6" fillId="0" borderId="27" xfId="713" applyBorder="1"/>
    <xf numFmtId="166" fontId="6" fillId="0" borderId="57" xfId="713" applyNumberFormat="1" applyBorder="1" applyAlignment="1">
      <alignment horizontal="center"/>
    </xf>
    <xf numFmtId="166" fontId="6" fillId="0" borderId="19" xfId="713" applyNumberFormat="1" applyBorder="1"/>
    <xf numFmtId="166" fontId="6" fillId="0" borderId="28" xfId="713" applyNumberFormat="1" applyBorder="1"/>
    <xf numFmtId="0" fontId="186" fillId="0" borderId="19" xfId="713" applyFont="1" applyBorder="1"/>
    <xf numFmtId="0" fontId="185" fillId="0" borderId="106" xfId="713" applyFont="1" applyBorder="1"/>
    <xf numFmtId="0" fontId="185" fillId="0" borderId="2" xfId="713" applyFont="1" applyBorder="1"/>
    <xf numFmtId="0" fontId="185" fillId="0" borderId="62" xfId="713" applyFont="1" applyBorder="1"/>
    <xf numFmtId="0" fontId="10" fillId="0" borderId="44" xfId="713" applyFont="1" applyBorder="1" applyAlignment="1" applyProtection="1">
      <alignment horizontal="left" vertical="center" wrapText="1" shrinkToFit="1"/>
    </xf>
    <xf numFmtId="0" fontId="185" fillId="0" borderId="4" xfId="713" applyFont="1" applyBorder="1" applyAlignment="1">
      <alignment horizontal="center"/>
    </xf>
    <xf numFmtId="166" fontId="6" fillId="0" borderId="4" xfId="713" applyNumberFormat="1" applyBorder="1" applyAlignment="1">
      <alignment horizontal="center"/>
    </xf>
    <xf numFmtId="2" fontId="6" fillId="0" borderId="4" xfId="713" applyNumberFormat="1" applyBorder="1" applyAlignment="1"/>
    <xf numFmtId="2" fontId="6" fillId="0" borderId="29" xfId="713" applyNumberFormat="1" applyBorder="1" applyAlignment="1"/>
    <xf numFmtId="0" fontId="6" fillId="0" borderId="0" xfId="713" applyBorder="1"/>
    <xf numFmtId="3" fontId="6" fillId="0" borderId="4" xfId="713" applyNumberFormat="1" applyBorder="1" applyAlignment="1">
      <alignment horizontal="center"/>
    </xf>
    <xf numFmtId="3" fontId="6" fillId="0" borderId="29" xfId="713" applyNumberFormat="1" applyBorder="1"/>
    <xf numFmtId="0" fontId="60" fillId="0" borderId="4" xfId="713" applyFont="1" applyBorder="1"/>
    <xf numFmtId="4" fontId="32" fillId="87" borderId="4" xfId="0" applyNumberFormat="1" applyFont="1" applyFill="1" applyBorder="1" applyAlignment="1" applyProtection="1">
      <alignment horizontal="center" wrapText="1"/>
      <protection locked="0"/>
    </xf>
    <xf numFmtId="0" fontId="19" fillId="0" borderId="0" xfId="2620" applyAlignment="1">
      <alignment horizontal="justify" vertical="center" wrapText="1"/>
    </xf>
    <xf numFmtId="0" fontId="19" fillId="0" borderId="0" xfId="2620" applyAlignment="1">
      <alignment horizontal="left" vertical="center" wrapText="1"/>
    </xf>
    <xf numFmtId="2" fontId="10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2" fontId="12" fillId="0" borderId="19" xfId="0" applyNumberFormat="1" applyFont="1" applyBorder="1" applyAlignment="1">
      <alignment horizontal="center" vertical="center" wrapText="1"/>
    </xf>
    <xf numFmtId="2" fontId="12" fillId="0" borderId="26" xfId="719" applyNumberFormat="1" applyFont="1" applyBorder="1" applyAlignment="1">
      <alignment horizontal="center" vertical="center" wrapText="1"/>
    </xf>
    <xf numFmtId="2" fontId="12" fillId="0" borderId="4" xfId="719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left" vertical="center" wrapText="1"/>
    </xf>
    <xf numFmtId="2" fontId="12" fillId="0" borderId="4" xfId="719" applyNumberFormat="1" applyFont="1" applyBorder="1" applyAlignment="1">
      <alignment vertical="center" wrapText="1"/>
    </xf>
    <xf numFmtId="2" fontId="12" fillId="0" borderId="26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2" fillId="0" borderId="45" xfId="0" applyNumberFormat="1" applyFont="1" applyBorder="1" applyAlignment="1">
      <alignment horizontal="center" vertical="center" wrapText="1"/>
    </xf>
    <xf numFmtId="2" fontId="12" fillId="0" borderId="23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2" fontId="13" fillId="0" borderId="0" xfId="0" applyNumberFormat="1" applyFont="1" applyFill="1" applyBorder="1" applyAlignment="1" applyProtection="1">
      <alignment horizontal="center" vertical="center"/>
    </xf>
    <xf numFmtId="2" fontId="12" fillId="0" borderId="0" xfId="0" applyNumberFormat="1" applyFont="1" applyAlignment="1">
      <alignment horizontal="center" vertical="center" wrapText="1"/>
    </xf>
    <xf numFmtId="0" fontId="29" fillId="0" borderId="0" xfId="0" applyFont="1" applyAlignment="1"/>
    <xf numFmtId="167" fontId="18" fillId="72" borderId="4" xfId="604" applyNumberFormat="1" applyFont="1" applyFill="1" applyBorder="1" applyAlignment="1" applyProtection="1">
      <alignment horizontal="center"/>
      <protection locked="0"/>
    </xf>
    <xf numFmtId="2" fontId="19" fillId="0" borderId="0" xfId="2620" applyNumberFormat="1" applyAlignment="1">
      <alignment horizontal="left"/>
    </xf>
    <xf numFmtId="0" fontId="6" fillId="0" borderId="0" xfId="2778"/>
    <xf numFmtId="0" fontId="12" fillId="0" borderId="4" xfId="2778" applyFont="1" applyBorder="1" applyAlignment="1">
      <alignment horizontal="left" vertical="center" wrapText="1"/>
    </xf>
    <xf numFmtId="0" fontId="12" fillId="0" borderId="0" xfId="2778" applyFont="1" applyBorder="1" applyAlignment="1">
      <alignment horizontal="left" vertical="center" wrapText="1"/>
    </xf>
    <xf numFmtId="0" fontId="15" fillId="0" borderId="4" xfId="2778" applyFont="1" applyBorder="1" applyAlignment="1">
      <alignment horizontal="left" vertical="center" wrapText="1"/>
    </xf>
    <xf numFmtId="0" fontId="15" fillId="0" borderId="57" xfId="2778" applyFont="1" applyBorder="1" applyAlignment="1">
      <alignment horizontal="left" vertical="center" wrapText="1"/>
    </xf>
    <xf numFmtId="49" fontId="12" fillId="0" borderId="0" xfId="2778" applyNumberFormat="1" applyFont="1" applyBorder="1" applyAlignment="1">
      <alignment horizontal="center" vertical="center" wrapText="1"/>
    </xf>
    <xf numFmtId="0" fontId="12" fillId="0" borderId="0" xfId="2778" applyFont="1" applyBorder="1" applyAlignment="1">
      <alignment horizontal="center" vertical="center" wrapText="1"/>
    </xf>
    <xf numFmtId="0" fontId="12" fillId="0" borderId="0" xfId="2778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77" fillId="0" borderId="0" xfId="0" applyFont="1" applyAlignment="1">
      <alignment vertical="center"/>
    </xf>
    <xf numFmtId="0" fontId="41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5" fillId="0" borderId="0" xfId="0" applyFont="1" applyBorder="1" applyAlignment="1"/>
    <xf numFmtId="0" fontId="187" fillId="0" borderId="0" xfId="0" applyFont="1" applyAlignment="1"/>
    <xf numFmtId="0" fontId="29" fillId="0" borderId="0" xfId="0" applyFont="1" applyBorder="1" applyAlignment="1"/>
    <xf numFmtId="0" fontId="168" fillId="0" borderId="0" xfId="0" applyFont="1" applyAlignment="1"/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68" fillId="0" borderId="0" xfId="0" applyFont="1" applyAlignment="1">
      <alignment vertical="center"/>
    </xf>
    <xf numFmtId="0" fontId="41" fillId="2" borderId="88" xfId="2616" applyFont="1" applyFill="1" applyBorder="1" applyAlignment="1" applyProtection="1">
      <alignment horizontal="center" vertical="center" wrapText="1"/>
    </xf>
    <xf numFmtId="0" fontId="41" fillId="2" borderId="0" xfId="2616" applyFont="1" applyFill="1" applyBorder="1" applyAlignment="1" applyProtection="1">
      <alignment horizontal="center" vertical="center" wrapText="1"/>
    </xf>
    <xf numFmtId="0" fontId="41" fillId="2" borderId="0" xfId="2616" applyFont="1" applyFill="1" applyBorder="1" applyAlignment="1" applyProtection="1">
      <alignment horizontal="center"/>
    </xf>
    <xf numFmtId="0" fontId="15" fillId="69" borderId="53" xfId="0" applyFont="1" applyFill="1" applyBorder="1" applyAlignment="1">
      <alignment horizontal="center" vertical="center"/>
    </xf>
    <xf numFmtId="0" fontId="41" fillId="69" borderId="53" xfId="0" applyFont="1" applyFill="1" applyBorder="1" applyAlignment="1">
      <alignment horizontal="center" vertical="center"/>
    </xf>
    <xf numFmtId="0" fontId="15" fillId="69" borderId="71" xfId="0" applyFont="1" applyFill="1" applyBorder="1" applyAlignment="1">
      <alignment horizontal="center" vertical="center"/>
    </xf>
    <xf numFmtId="0" fontId="41" fillId="69" borderId="71" xfId="0" applyFont="1" applyFill="1" applyBorder="1" applyAlignment="1">
      <alignment horizontal="center" vertical="center"/>
    </xf>
    <xf numFmtId="0" fontId="15" fillId="0" borderId="89" xfId="2616" applyFont="1" applyBorder="1" applyAlignment="1" applyProtection="1">
      <alignment horizontal="center" vertical="center" wrapText="1"/>
    </xf>
    <xf numFmtId="0" fontId="15" fillId="0" borderId="90" xfId="2616" applyFont="1" applyFill="1" applyBorder="1" applyAlignment="1" applyProtection="1">
      <alignment horizontal="left" vertical="top" wrapText="1"/>
    </xf>
    <xf numFmtId="0" fontId="15" fillId="0" borderId="110" xfId="2616" applyFont="1" applyBorder="1" applyAlignment="1" applyProtection="1">
      <alignment horizontal="center" vertical="center" wrapText="1"/>
    </xf>
    <xf numFmtId="169" fontId="15" fillId="87" borderId="49" xfId="0" applyNumberFormat="1" applyFont="1" applyFill="1" applyBorder="1" applyAlignment="1">
      <alignment horizontal="right" vertical="center"/>
    </xf>
    <xf numFmtId="169" fontId="15" fillId="87" borderId="30" xfId="0" applyNumberFormat="1" applyFont="1" applyFill="1" applyBorder="1" applyAlignment="1">
      <alignment horizontal="right" vertical="center"/>
    </xf>
    <xf numFmtId="169" fontId="188" fillId="87" borderId="30" xfId="0" applyNumberFormat="1" applyFont="1" applyFill="1" applyBorder="1" applyAlignment="1">
      <alignment horizontal="right" vertical="center" wrapText="1"/>
    </xf>
    <xf numFmtId="169" fontId="15" fillId="87" borderId="30" xfId="0" applyNumberFormat="1" applyFont="1" applyFill="1" applyBorder="1" applyAlignment="1">
      <alignment horizontal="center" vertical="center"/>
    </xf>
    <xf numFmtId="169" fontId="15" fillId="87" borderId="31" xfId="0" applyNumberFormat="1" applyFont="1" applyFill="1" applyBorder="1" applyAlignment="1">
      <alignment horizontal="center" vertical="center"/>
    </xf>
    <xf numFmtId="0" fontId="15" fillId="0" borderId="91" xfId="2616" applyFont="1" applyBorder="1" applyAlignment="1" applyProtection="1">
      <alignment horizontal="center" vertical="center" wrapText="1"/>
    </xf>
    <xf numFmtId="0" fontId="15" fillId="0" borderId="92" xfId="2616" applyFont="1" applyFill="1" applyBorder="1" applyAlignment="1" applyProtection="1">
      <alignment horizontal="left" vertical="top" wrapText="1"/>
    </xf>
    <xf numFmtId="0" fontId="15" fillId="0" borderId="111" xfId="2616" applyFont="1" applyBorder="1" applyAlignment="1" applyProtection="1">
      <alignment horizontal="center" vertical="center" wrapText="1"/>
    </xf>
    <xf numFmtId="169" fontId="15" fillId="87" borderId="29" xfId="0" applyNumberFormat="1" applyFont="1" applyFill="1" applyBorder="1" applyAlignment="1">
      <alignment horizontal="right" vertical="center"/>
    </xf>
    <xf numFmtId="169" fontId="15" fillId="87" borderId="4" xfId="0" applyNumberFormat="1" applyFont="1" applyFill="1" applyBorder="1" applyAlignment="1">
      <alignment horizontal="right" vertical="center"/>
    </xf>
    <xf numFmtId="169" fontId="188" fillId="87" borderId="4" xfId="0" applyNumberFormat="1" applyFont="1" applyFill="1" applyBorder="1" applyAlignment="1">
      <alignment horizontal="right" vertical="center" wrapText="1"/>
    </xf>
    <xf numFmtId="169" fontId="15" fillId="87" borderId="4" xfId="0" applyNumberFormat="1" applyFont="1" applyFill="1" applyBorder="1" applyAlignment="1">
      <alignment horizontal="center" vertical="center"/>
    </xf>
    <xf numFmtId="169" fontId="15" fillId="87" borderId="32" xfId="0" applyNumberFormat="1" applyFont="1" applyFill="1" applyBorder="1" applyAlignment="1">
      <alignment horizontal="center" vertical="center"/>
    </xf>
    <xf numFmtId="169" fontId="15" fillId="88" borderId="29" xfId="0" applyNumberFormat="1" applyFont="1" applyFill="1" applyBorder="1" applyAlignment="1">
      <alignment horizontal="right" vertical="center"/>
    </xf>
    <xf numFmtId="169" fontId="15" fillId="88" borderId="4" xfId="0" applyNumberFormat="1" applyFont="1" applyFill="1" applyBorder="1" applyAlignment="1">
      <alignment horizontal="right" vertical="center"/>
    </xf>
    <xf numFmtId="169" fontId="110" fillId="0" borderId="0" xfId="2779" applyNumberFormat="1" applyFont="1" applyFill="1" applyBorder="1" applyAlignment="1" applyProtection="1">
      <alignment vertical="top"/>
    </xf>
    <xf numFmtId="0" fontId="15" fillId="0" borderId="92" xfId="2616" applyFont="1" applyBorder="1" applyAlignment="1" applyProtection="1">
      <alignment horizontal="left" vertical="top" wrapText="1"/>
    </xf>
    <xf numFmtId="0" fontId="15" fillId="0" borderId="111" xfId="2616" applyFont="1" applyBorder="1" applyAlignment="1" applyProtection="1">
      <alignment horizontal="center" vertical="center"/>
    </xf>
    <xf numFmtId="10" fontId="15" fillId="87" borderId="29" xfId="2664" applyNumberFormat="1" applyFont="1" applyFill="1" applyBorder="1" applyAlignment="1">
      <alignment horizontal="right" vertical="center"/>
    </xf>
    <xf numFmtId="10" fontId="15" fillId="87" borderId="4" xfId="2664" applyNumberFormat="1" applyFont="1" applyFill="1" applyBorder="1" applyAlignment="1">
      <alignment horizontal="right" vertical="center"/>
    </xf>
    <xf numFmtId="10" fontId="15" fillId="87" borderId="4" xfId="2664" applyNumberFormat="1" applyFont="1" applyFill="1" applyBorder="1" applyAlignment="1">
      <alignment horizontal="center" vertical="center"/>
    </xf>
    <xf numFmtId="169" fontId="15" fillId="0" borderId="29" xfId="0" applyNumberFormat="1" applyFont="1" applyFill="1" applyBorder="1" applyAlignment="1">
      <alignment horizontal="right" vertical="center"/>
    </xf>
    <xf numFmtId="169" fontId="15" fillId="0" borderId="4" xfId="0" applyNumberFormat="1" applyFont="1" applyFill="1" applyBorder="1" applyAlignment="1">
      <alignment horizontal="right" vertical="center"/>
    </xf>
    <xf numFmtId="49" fontId="15" fillId="0" borderId="93" xfId="2616" applyNumberFormat="1" applyFont="1" applyBorder="1" applyAlignment="1" applyProtection="1">
      <alignment horizontal="center" vertical="center" wrapText="1"/>
    </xf>
    <xf numFmtId="0" fontId="15" fillId="0" borderId="94" xfId="2616" applyFont="1" applyFill="1" applyBorder="1" applyAlignment="1" applyProtection="1">
      <alignment horizontal="left" vertical="top" wrapText="1"/>
    </xf>
    <xf numFmtId="0" fontId="15" fillId="0" borderId="112" xfId="2616" applyFont="1" applyBorder="1" applyAlignment="1" applyProtection="1">
      <alignment horizontal="center" vertical="center" wrapText="1"/>
    </xf>
    <xf numFmtId="169" fontId="15" fillId="0" borderId="113" xfId="0" applyNumberFormat="1" applyFont="1" applyBorder="1" applyAlignment="1">
      <alignment vertical="center"/>
    </xf>
    <xf numFmtId="169" fontId="15" fillId="0" borderId="95" xfId="0" applyNumberFormat="1" applyFont="1" applyBorder="1" applyAlignment="1">
      <alignment vertical="center"/>
    </xf>
    <xf numFmtId="169" fontId="15" fillId="0" borderId="95" xfId="0" applyNumberFormat="1" applyFont="1" applyBorder="1" applyAlignment="1">
      <alignment horizontal="right" vertical="center"/>
    </xf>
    <xf numFmtId="169" fontId="15" fillId="87" borderId="95" xfId="0" applyNumberFormat="1" applyFont="1" applyFill="1" applyBorder="1" applyAlignment="1">
      <alignment horizontal="center" vertical="center"/>
    </xf>
    <xf numFmtId="169" fontId="15" fillId="87" borderId="96" xfId="0" applyNumberFormat="1" applyFont="1" applyFill="1" applyBorder="1" applyAlignment="1">
      <alignment horizontal="center" vertical="center"/>
    </xf>
    <xf numFmtId="0" fontId="41" fillId="2" borderId="0" xfId="2616" applyFont="1" applyFill="1" applyBorder="1" applyAlignment="1" applyProtection="1">
      <alignment horizontal="center" vertical="center"/>
    </xf>
    <xf numFmtId="0" fontId="15" fillId="69" borderId="50" xfId="0" applyFont="1" applyFill="1" applyBorder="1" applyAlignment="1">
      <alignment vertical="center"/>
    </xf>
    <xf numFmtId="166" fontId="15" fillId="69" borderId="53" xfId="0" applyNumberFormat="1" applyFont="1" applyFill="1" applyBorder="1" applyAlignment="1">
      <alignment vertical="center"/>
    </xf>
    <xf numFmtId="166" fontId="15" fillId="69" borderId="53" xfId="0" applyNumberFormat="1" applyFont="1" applyFill="1" applyBorder="1" applyAlignment="1">
      <alignment horizontal="center" vertical="center"/>
    </xf>
    <xf numFmtId="166" fontId="15" fillId="69" borderId="51" xfId="0" applyNumberFormat="1" applyFont="1" applyFill="1" applyBorder="1" applyAlignment="1">
      <alignment vertical="center"/>
    </xf>
    <xf numFmtId="0" fontId="15" fillId="0" borderId="89" xfId="2616" applyFont="1" applyFill="1" applyBorder="1" applyAlignment="1" applyProtection="1">
      <alignment vertical="center" wrapText="1"/>
    </xf>
    <xf numFmtId="0" fontId="15" fillId="0" borderId="90" xfId="2616" applyFont="1" applyBorder="1" applyAlignment="1" applyProtection="1">
      <alignment horizontal="center" vertical="center" wrapText="1"/>
    </xf>
    <xf numFmtId="169" fontId="15" fillId="87" borderId="97" xfId="0" applyNumberFormat="1" applyFont="1" applyFill="1" applyBorder="1" applyAlignment="1">
      <alignment horizontal="right" vertical="center"/>
    </xf>
    <xf numFmtId="169" fontId="15" fillId="87" borderId="98" xfId="719" applyNumberFormat="1" applyFont="1" applyFill="1" applyBorder="1" applyAlignment="1">
      <alignment horizontal="right" vertical="center"/>
    </xf>
    <xf numFmtId="169" fontId="188" fillId="87" borderId="98" xfId="0" applyNumberFormat="1" applyFont="1" applyFill="1" applyBorder="1" applyAlignment="1">
      <alignment horizontal="right" vertical="center" wrapText="1"/>
    </xf>
    <xf numFmtId="0" fontId="178" fillId="0" borderId="0" xfId="0" applyFont="1" applyAlignment="1">
      <alignment vertical="center"/>
    </xf>
    <xf numFmtId="169" fontId="178" fillId="0" borderId="0" xfId="0" applyNumberFormat="1" applyFont="1" applyAlignment="1">
      <alignment vertical="center"/>
    </xf>
    <xf numFmtId="0" fontId="15" fillId="0" borderId="91" xfId="2616" applyFont="1" applyFill="1" applyBorder="1" applyAlignment="1" applyProtection="1">
      <alignment vertical="center" wrapText="1"/>
    </xf>
    <xf numFmtId="0" fontId="15" fillId="0" borderId="92" xfId="2616" applyFont="1" applyBorder="1" applyAlignment="1" applyProtection="1">
      <alignment horizontal="center" vertical="center" wrapText="1"/>
    </xf>
    <xf numFmtId="169" fontId="15" fillId="87" borderId="33" xfId="0" applyNumberFormat="1" applyFont="1" applyFill="1" applyBorder="1" applyAlignment="1">
      <alignment horizontal="right" vertical="center"/>
    </xf>
    <xf numFmtId="169" fontId="15" fillId="87" borderId="4" xfId="719" applyNumberFormat="1" applyFont="1" applyFill="1" applyBorder="1" applyAlignment="1">
      <alignment horizontal="right" vertical="center"/>
    </xf>
    <xf numFmtId="49" fontId="15" fillId="0" borderId="91" xfId="2616" applyNumberFormat="1" applyFont="1" applyBorder="1" applyAlignment="1" applyProtection="1">
      <alignment horizontal="center" vertical="center" wrapText="1"/>
    </xf>
    <xf numFmtId="169" fontId="15" fillId="88" borderId="33" xfId="0" applyNumberFormat="1" applyFont="1" applyFill="1" applyBorder="1" applyAlignment="1">
      <alignment horizontal="right" vertical="center"/>
    </xf>
    <xf numFmtId="169" fontId="15" fillId="87" borderId="4" xfId="719" applyNumberFormat="1" applyFont="1" applyFill="1" applyBorder="1" applyAlignment="1">
      <alignment horizontal="center" vertical="center"/>
    </xf>
    <xf numFmtId="169" fontId="15" fillId="0" borderId="33" xfId="0" applyNumberFormat="1" applyFont="1" applyFill="1" applyBorder="1" applyAlignment="1">
      <alignment horizontal="right" vertical="center"/>
    </xf>
    <xf numFmtId="0" fontId="15" fillId="0" borderId="91" xfId="2616" applyFont="1" applyBorder="1" applyAlignment="1" applyProtection="1">
      <alignment vertical="center" wrapText="1"/>
    </xf>
    <xf numFmtId="0" fontId="15" fillId="0" borderId="92" xfId="2616" applyFont="1" applyBorder="1" applyAlignment="1" applyProtection="1">
      <alignment horizontal="center" vertical="center"/>
    </xf>
    <xf numFmtId="10" fontId="15" fillId="87" borderId="33" xfId="2664" applyNumberFormat="1" applyFont="1" applyFill="1" applyBorder="1" applyAlignment="1">
      <alignment horizontal="right" vertical="center"/>
    </xf>
    <xf numFmtId="0" fontId="15" fillId="0" borderId="93" xfId="2616" applyFont="1" applyFill="1" applyBorder="1" applyAlignment="1" applyProtection="1">
      <alignment vertical="center" wrapText="1"/>
    </xf>
    <xf numFmtId="0" fontId="15" fillId="0" borderId="94" xfId="2616" applyFont="1" applyBorder="1" applyAlignment="1" applyProtection="1">
      <alignment horizontal="center" vertical="center" wrapText="1"/>
    </xf>
    <xf numFmtId="169" fontId="15" fillId="0" borderId="39" xfId="0" applyNumberFormat="1" applyFont="1" applyBorder="1" applyAlignment="1">
      <alignment vertical="center"/>
    </xf>
    <xf numFmtId="169" fontId="15" fillId="87" borderId="40" xfId="0" applyNumberFormat="1" applyFont="1" applyFill="1" applyBorder="1" applyAlignment="1">
      <alignment horizontal="right" vertical="center"/>
    </xf>
    <xf numFmtId="169" fontId="15" fillId="88" borderId="40" xfId="0" applyNumberFormat="1" applyFont="1" applyFill="1" applyBorder="1" applyAlignment="1">
      <alignment horizontal="right" vertical="center"/>
    </xf>
    <xf numFmtId="169" fontId="15" fillId="87" borderId="40" xfId="719" applyNumberFormat="1" applyFont="1" applyFill="1" applyBorder="1" applyAlignment="1">
      <alignment horizontal="center" vertical="center"/>
    </xf>
    <xf numFmtId="169" fontId="15" fillId="0" borderId="40" xfId="0" applyNumberFormat="1" applyFont="1" applyBorder="1" applyAlignment="1">
      <alignment horizontal="right" vertical="center"/>
    </xf>
    <xf numFmtId="169" fontId="15" fillId="87" borderId="41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vertical="center" wrapText="1"/>
    </xf>
    <xf numFmtId="174" fontId="177" fillId="0" borderId="0" xfId="0" applyNumberFormat="1" applyFont="1" applyAlignment="1">
      <alignment vertical="center"/>
    </xf>
    <xf numFmtId="0" fontId="15" fillId="0" borderId="19" xfId="719" applyFont="1" applyBorder="1" applyAlignment="1">
      <alignment horizontal="center" vertical="top" wrapText="1"/>
    </xf>
    <xf numFmtId="0" fontId="15" fillId="0" borderId="19" xfId="719" applyFont="1" applyBorder="1" applyAlignment="1">
      <alignment vertical="top"/>
    </xf>
    <xf numFmtId="0" fontId="15" fillId="0" borderId="0" xfId="0" applyFont="1" applyBorder="1" applyAlignment="1">
      <alignment horizontal="center" vertical="center" wrapText="1"/>
    </xf>
    <xf numFmtId="49" fontId="15" fillId="0" borderId="64" xfId="0" applyNumberFormat="1" applyFont="1" applyBorder="1" applyAlignment="1">
      <alignment vertical="center"/>
    </xf>
    <xf numFmtId="0" fontId="15" fillId="0" borderId="64" xfId="719" applyFont="1" applyBorder="1" applyAlignment="1">
      <alignment vertical="center"/>
    </xf>
    <xf numFmtId="0" fontId="15" fillId="0" borderId="64" xfId="2616" applyFont="1" applyBorder="1" applyAlignment="1" applyProtection="1">
      <alignment horizontal="center" vertical="center" wrapText="1"/>
    </xf>
    <xf numFmtId="169" fontId="15" fillId="73" borderId="25" xfId="719" applyNumberFormat="1" applyFont="1" applyFill="1" applyBorder="1" applyAlignment="1">
      <alignment horizontal="center" vertical="center"/>
    </xf>
    <xf numFmtId="0" fontId="15" fillId="72" borderId="62" xfId="719" applyFont="1" applyFill="1" applyBorder="1" applyAlignment="1">
      <alignment vertical="center"/>
    </xf>
    <xf numFmtId="0" fontId="15" fillId="72" borderId="19" xfId="719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15" fillId="0" borderId="65" xfId="0" applyNumberFormat="1" applyFont="1" applyBorder="1" applyAlignment="1">
      <alignment vertical="center"/>
    </xf>
    <xf numFmtId="0" fontId="15" fillId="0" borderId="65" xfId="719" applyFont="1" applyFill="1" applyBorder="1" applyAlignment="1">
      <alignment vertical="center"/>
    </xf>
    <xf numFmtId="0" fontId="15" fillId="0" borderId="65" xfId="2616" applyFont="1" applyBorder="1" applyAlignment="1" applyProtection="1">
      <alignment horizontal="center" vertical="center" wrapText="1"/>
    </xf>
    <xf numFmtId="169" fontId="15" fillId="72" borderId="33" xfId="719" applyNumberFormat="1" applyFont="1" applyFill="1" applyBorder="1" applyAlignment="1">
      <alignment horizontal="center" vertical="center"/>
    </xf>
    <xf numFmtId="169" fontId="15" fillId="72" borderId="35" xfId="719" applyNumberFormat="1" applyFont="1" applyFill="1" applyBorder="1" applyAlignment="1">
      <alignment horizontal="center" vertical="center"/>
    </xf>
    <xf numFmtId="169" fontId="15" fillId="73" borderId="35" xfId="719" applyNumberFormat="1" applyFont="1" applyFill="1" applyBorder="1" applyAlignment="1">
      <alignment horizontal="center" vertical="center"/>
    </xf>
    <xf numFmtId="169" fontId="15" fillId="73" borderId="105" xfId="719" applyNumberFormat="1" applyFont="1" applyFill="1" applyBorder="1" applyAlignment="1">
      <alignment horizontal="center" vertical="center"/>
    </xf>
    <xf numFmtId="169" fontId="15" fillId="73" borderId="33" xfId="719" applyNumberFormat="1" applyFont="1" applyFill="1" applyBorder="1" applyAlignment="1">
      <alignment horizontal="center" vertical="center"/>
    </xf>
    <xf numFmtId="0" fontId="15" fillId="0" borderId="65" xfId="719" applyFont="1" applyBorder="1" applyAlignment="1">
      <alignment vertical="center"/>
    </xf>
    <xf numFmtId="169" fontId="15" fillId="0" borderId="33" xfId="719" applyNumberFormat="1" applyFont="1" applyFill="1" applyBorder="1" applyAlignment="1">
      <alignment horizontal="center" vertical="center"/>
    </xf>
    <xf numFmtId="169" fontId="178" fillId="72" borderId="33" xfId="719" applyNumberFormat="1" applyFont="1" applyFill="1" applyBorder="1" applyAlignment="1">
      <alignment horizontal="center" vertical="center"/>
    </xf>
    <xf numFmtId="169" fontId="177" fillId="72" borderId="33" xfId="719" applyNumberFormat="1" applyFont="1" applyFill="1" applyBorder="1" applyAlignment="1">
      <alignment horizontal="center" vertical="center"/>
    </xf>
    <xf numFmtId="0" fontId="15" fillId="0" borderId="69" xfId="0" applyFont="1" applyBorder="1" applyAlignment="1">
      <alignment vertical="center"/>
    </xf>
    <xf numFmtId="0" fontId="15" fillId="0" borderId="69" xfId="719" applyFont="1" applyBorder="1" applyAlignment="1">
      <alignment vertical="center"/>
    </xf>
    <xf numFmtId="0" fontId="15" fillId="0" borderId="69" xfId="2616" applyFont="1" applyBorder="1" applyAlignment="1" applyProtection="1">
      <alignment horizontal="center" vertical="center" wrapText="1"/>
    </xf>
    <xf numFmtId="169" fontId="177" fillId="72" borderId="39" xfId="719" applyNumberFormat="1" applyFont="1" applyFill="1" applyBorder="1" applyAlignment="1">
      <alignment horizontal="center" vertical="center"/>
    </xf>
    <xf numFmtId="169" fontId="15" fillId="0" borderId="69" xfId="719" applyNumberFormat="1" applyFont="1" applyFill="1" applyBorder="1" applyAlignment="1">
      <alignment horizontal="center" vertical="center"/>
    </xf>
    <xf numFmtId="169" fontId="15" fillId="73" borderId="39" xfId="719" applyNumberFormat="1" applyFont="1" applyFill="1" applyBorder="1" applyAlignment="1">
      <alignment horizontal="center" vertical="center"/>
    </xf>
    <xf numFmtId="169" fontId="15" fillId="73" borderId="69" xfId="719" applyNumberFormat="1" applyFont="1" applyFill="1" applyBorder="1" applyAlignment="1">
      <alignment horizontal="center" vertical="center"/>
    </xf>
    <xf numFmtId="0" fontId="41" fillId="0" borderId="0" xfId="0" applyFont="1" applyBorder="1" applyAlignment="1"/>
    <xf numFmtId="0" fontId="15" fillId="0" borderId="0" xfId="0" applyFont="1" applyAlignment="1"/>
    <xf numFmtId="0" fontId="15" fillId="0" borderId="0" xfId="0" applyFont="1" applyBorder="1" applyAlignment="1"/>
    <xf numFmtId="0" fontId="41" fillId="0" borderId="0" xfId="0" applyFont="1" applyBorder="1" applyAlignment="1">
      <alignment wrapText="1"/>
    </xf>
    <xf numFmtId="200" fontId="41" fillId="0" borderId="0" xfId="0" applyNumberFormat="1" applyFont="1" applyBorder="1" applyAlignment="1">
      <alignment wrapText="1"/>
    </xf>
    <xf numFmtId="203" fontId="41" fillId="0" borderId="0" xfId="0" applyNumberFormat="1" applyFont="1" applyBorder="1" applyAlignment="1">
      <alignment wrapText="1"/>
    </xf>
    <xf numFmtId="200" fontId="190" fillId="0" borderId="0" xfId="0" applyNumberFormat="1" applyFont="1" applyBorder="1" applyAlignment="1">
      <alignment wrapText="1"/>
    </xf>
    <xf numFmtId="0" fontId="177" fillId="0" borderId="0" xfId="0" applyFont="1" applyAlignment="1"/>
    <xf numFmtId="200" fontId="15" fillId="0" borderId="0" xfId="0" applyNumberFormat="1" applyFont="1" applyAlignment="1">
      <alignment vertical="center"/>
    </xf>
    <xf numFmtId="0" fontId="15" fillId="0" borderId="64" xfId="0" applyFont="1" applyBorder="1" applyAlignment="1">
      <alignment vertical="center"/>
    </xf>
    <xf numFmtId="169" fontId="15" fillId="73" borderId="25" xfId="719" applyNumberFormat="1" applyFont="1" applyFill="1" applyBorder="1" applyAlignment="1">
      <alignment horizontal="right" vertical="center"/>
    </xf>
    <xf numFmtId="169" fontId="15" fillId="73" borderId="31" xfId="719" applyNumberFormat="1" applyFont="1" applyFill="1" applyBorder="1" applyAlignment="1">
      <alignment horizontal="right" vertical="center"/>
    </xf>
    <xf numFmtId="169" fontId="15" fillId="73" borderId="102" xfId="719" applyNumberFormat="1" applyFont="1" applyFill="1" applyBorder="1" applyAlignment="1">
      <alignment horizontal="right" vertical="center"/>
    </xf>
    <xf numFmtId="1" fontId="177" fillId="0" borderId="0" xfId="0" applyNumberFormat="1" applyFont="1" applyAlignment="1">
      <alignment vertical="center"/>
    </xf>
    <xf numFmtId="0" fontId="15" fillId="0" borderId="65" xfId="0" applyFont="1" applyBorder="1" applyAlignment="1">
      <alignment vertical="center"/>
    </xf>
    <xf numFmtId="169" fontId="15" fillId="72" borderId="47" xfId="719" applyNumberFormat="1" applyFont="1" applyFill="1" applyBorder="1" applyAlignment="1">
      <alignment horizontal="right" vertical="center"/>
    </xf>
    <xf numFmtId="169" fontId="15" fillId="72" borderId="70" xfId="719" applyNumberFormat="1" applyFont="1" applyFill="1" applyBorder="1" applyAlignment="1">
      <alignment horizontal="right" vertical="center"/>
    </xf>
    <xf numFmtId="169" fontId="15" fillId="72" borderId="42" xfId="719" applyNumberFormat="1" applyFont="1" applyFill="1" applyBorder="1" applyAlignment="1">
      <alignment horizontal="right" vertical="center"/>
    </xf>
    <xf numFmtId="169" fontId="15" fillId="72" borderId="33" xfId="719" applyNumberFormat="1" applyFont="1" applyFill="1" applyBorder="1" applyAlignment="1">
      <alignment horizontal="right" vertical="center"/>
    </xf>
    <xf numFmtId="169" fontId="15" fillId="72" borderId="57" xfId="719" applyNumberFormat="1" applyFont="1" applyFill="1" applyBorder="1" applyAlignment="1">
      <alignment horizontal="right" vertical="center"/>
    </xf>
    <xf numFmtId="169" fontId="15" fillId="72" borderId="32" xfId="719" applyNumberFormat="1" applyFont="1" applyFill="1" applyBorder="1" applyAlignment="1">
      <alignment horizontal="right" vertical="center"/>
    </xf>
    <xf numFmtId="169" fontId="15" fillId="73" borderId="33" xfId="719" applyNumberFormat="1" applyFont="1" applyFill="1" applyBorder="1" applyAlignment="1">
      <alignment horizontal="right" vertical="center"/>
    </xf>
    <xf numFmtId="169" fontId="15" fillId="73" borderId="57" xfId="719" applyNumberFormat="1" applyFont="1" applyFill="1" applyBorder="1" applyAlignment="1">
      <alignment horizontal="right" vertical="center"/>
    </xf>
    <xf numFmtId="169" fontId="15" fillId="73" borderId="32" xfId="719" applyNumberFormat="1" applyFont="1" applyFill="1" applyBorder="1" applyAlignment="1">
      <alignment horizontal="right" vertical="center"/>
    </xf>
    <xf numFmtId="169" fontId="15" fillId="72" borderId="34" xfId="719" applyNumberFormat="1" applyFont="1" applyFill="1" applyBorder="1" applyAlignment="1">
      <alignment horizontal="right" vertical="center"/>
    </xf>
    <xf numFmtId="169" fontId="15" fillId="73" borderId="34" xfId="719" applyNumberFormat="1" applyFont="1" applyFill="1" applyBorder="1" applyAlignment="1">
      <alignment horizontal="right" vertical="center"/>
    </xf>
    <xf numFmtId="0" fontId="15" fillId="0" borderId="65" xfId="0" applyFont="1" applyFill="1" applyBorder="1" applyAlignment="1">
      <alignment vertical="center"/>
    </xf>
    <xf numFmtId="169" fontId="15" fillId="73" borderId="39" xfId="719" applyNumberFormat="1" applyFont="1" applyFill="1" applyBorder="1" applyAlignment="1">
      <alignment horizontal="right" vertical="center"/>
    </xf>
    <xf numFmtId="169" fontId="15" fillId="73" borderId="58" xfId="719" applyNumberFormat="1" applyFont="1" applyFill="1" applyBorder="1" applyAlignment="1">
      <alignment horizontal="right" vertical="center"/>
    </xf>
    <xf numFmtId="169" fontId="15" fillId="73" borderId="41" xfId="719" applyNumberFormat="1" applyFont="1" applyFill="1" applyBorder="1" applyAlignment="1">
      <alignment horizontal="right" vertical="center"/>
    </xf>
    <xf numFmtId="166" fontId="15" fillId="0" borderId="0" xfId="0" applyNumberFormat="1" applyFont="1" applyAlignment="1">
      <alignment vertical="center"/>
    </xf>
    <xf numFmtId="0" fontId="15" fillId="0" borderId="101" xfId="0" applyFont="1" applyBorder="1" applyAlignment="1">
      <alignment vertical="center"/>
    </xf>
    <xf numFmtId="166" fontId="15" fillId="73" borderId="25" xfId="719" applyNumberFormat="1" applyFont="1" applyFill="1" applyBorder="1" applyAlignment="1">
      <alignment horizontal="right" vertical="center"/>
    </xf>
    <xf numFmtId="166" fontId="15" fillId="73" borderId="49" xfId="719" applyNumberFormat="1" applyFont="1" applyFill="1" applyBorder="1" applyAlignment="1">
      <alignment horizontal="right" vertical="center"/>
    </xf>
    <xf numFmtId="0" fontId="15" fillId="0" borderId="34" xfId="0" applyFont="1" applyBorder="1" applyAlignment="1">
      <alignment vertical="center"/>
    </xf>
    <xf numFmtId="166" fontId="15" fillId="72" borderId="47" xfId="719" applyNumberFormat="1" applyFont="1" applyFill="1" applyBorder="1" applyAlignment="1">
      <alignment horizontal="right" vertical="center"/>
    </xf>
    <xf numFmtId="166" fontId="15" fillId="72" borderId="70" xfId="719" applyNumberFormat="1" applyFont="1" applyFill="1" applyBorder="1" applyAlignment="1">
      <alignment horizontal="right" vertical="center"/>
    </xf>
    <xf numFmtId="166" fontId="15" fillId="72" borderId="42" xfId="719" applyNumberFormat="1" applyFont="1" applyFill="1" applyBorder="1" applyAlignment="1">
      <alignment horizontal="right" vertical="center"/>
    </xf>
    <xf numFmtId="166" fontId="15" fillId="72" borderId="82" xfId="719" applyNumberFormat="1" applyFont="1" applyFill="1" applyBorder="1" applyAlignment="1">
      <alignment horizontal="right" vertical="center"/>
    </xf>
    <xf numFmtId="166" fontId="15" fillId="72" borderId="33" xfId="719" applyNumberFormat="1" applyFont="1" applyFill="1" applyBorder="1" applyAlignment="1">
      <alignment horizontal="right" vertical="center"/>
    </xf>
    <xf numFmtId="166" fontId="15" fillId="72" borderId="57" xfId="719" applyNumberFormat="1" applyFont="1" applyFill="1" applyBorder="1" applyAlignment="1">
      <alignment horizontal="right" vertical="center"/>
    </xf>
    <xf numFmtId="166" fontId="15" fillId="72" borderId="32" xfId="719" applyNumberFormat="1" applyFont="1" applyFill="1" applyBorder="1" applyAlignment="1">
      <alignment horizontal="right" vertical="center"/>
    </xf>
    <xf numFmtId="166" fontId="15" fillId="72" borderId="29" xfId="719" applyNumberFormat="1" applyFont="1" applyFill="1" applyBorder="1" applyAlignment="1">
      <alignment horizontal="right" vertical="center"/>
    </xf>
    <xf numFmtId="169" fontId="15" fillId="73" borderId="29" xfId="719" applyNumberFormat="1" applyFont="1" applyFill="1" applyBorder="1" applyAlignment="1">
      <alignment horizontal="right" vertical="center"/>
    </xf>
    <xf numFmtId="169" fontId="15" fillId="72" borderId="29" xfId="719" applyNumberFormat="1" applyFont="1" applyFill="1" applyBorder="1" applyAlignment="1">
      <alignment horizontal="right" vertical="center"/>
    </xf>
    <xf numFmtId="169" fontId="15" fillId="72" borderId="28" xfId="719" applyNumberFormat="1" applyFont="1" applyFill="1" applyBorder="1" applyAlignment="1">
      <alignment horizontal="right" vertical="center"/>
    </xf>
    <xf numFmtId="0" fontId="15" fillId="0" borderId="34" xfId="0" applyFont="1" applyFill="1" applyBorder="1" applyAlignment="1">
      <alignment vertical="center"/>
    </xf>
    <xf numFmtId="0" fontId="15" fillId="0" borderId="36" xfId="0" applyFont="1" applyBorder="1" applyAlignment="1">
      <alignment vertical="center"/>
    </xf>
    <xf numFmtId="169" fontId="15" fillId="73" borderId="38" xfId="719" applyNumberFormat="1" applyFont="1" applyFill="1" applyBorder="1" applyAlignment="1">
      <alignment horizontal="right" vertical="center"/>
    </xf>
    <xf numFmtId="0" fontId="41" fillId="0" borderId="0" xfId="0" applyFont="1" applyFill="1" applyBorder="1" applyAlignment="1">
      <alignment vertical="center"/>
    </xf>
    <xf numFmtId="0" fontId="15" fillId="0" borderId="64" xfId="0" applyFont="1" applyBorder="1" applyAlignment="1">
      <alignment vertical="top"/>
    </xf>
    <xf numFmtId="0" fontId="110" fillId="0" borderId="65" xfId="2779" applyNumberFormat="1" applyFont="1" applyFill="1" applyBorder="1" applyAlignment="1" applyProtection="1">
      <alignment horizontal="left" vertical="top"/>
    </xf>
    <xf numFmtId="0" fontId="60" fillId="72" borderId="0" xfId="719" applyNumberFormat="1" applyFont="1" applyFill="1" applyBorder="1" applyAlignment="1">
      <alignment horizontal="left" vertical="center"/>
    </xf>
    <xf numFmtId="0" fontId="110" fillId="0" borderId="28" xfId="2779" applyNumberFormat="1" applyFont="1" applyFill="1" applyBorder="1" applyAlignment="1" applyProtection="1">
      <alignment vertical="top"/>
    </xf>
    <xf numFmtId="0" fontId="60" fillId="72" borderId="28" xfId="719" applyNumberFormat="1" applyFont="1" applyFill="1" applyBorder="1" applyAlignment="1">
      <alignment horizontal="left" vertical="center"/>
    </xf>
    <xf numFmtId="0" fontId="110" fillId="0" borderId="68" xfId="2779" applyNumberFormat="1" applyFont="1" applyFill="1" applyBorder="1" applyAlignment="1" applyProtection="1">
      <alignment vertical="top"/>
    </xf>
    <xf numFmtId="0" fontId="139" fillId="0" borderId="0" xfId="0" applyFont="1" applyAlignment="1">
      <alignment vertical="center"/>
    </xf>
    <xf numFmtId="0" fontId="60" fillId="72" borderId="44" xfId="719" applyNumberFormat="1" applyFont="1" applyFill="1" applyBorder="1" applyAlignment="1">
      <alignment horizontal="left" vertical="center"/>
    </xf>
    <xf numFmtId="0" fontId="110" fillId="0" borderId="44" xfId="2779" applyNumberFormat="1" applyFont="1" applyFill="1" applyBorder="1" applyAlignment="1" applyProtection="1">
      <alignment vertical="top"/>
    </xf>
    <xf numFmtId="0" fontId="110" fillId="0" borderId="69" xfId="2779" applyNumberFormat="1" applyFont="1" applyFill="1" applyBorder="1" applyAlignment="1" applyProtection="1">
      <alignment vertical="top"/>
    </xf>
    <xf numFmtId="0" fontId="60" fillId="72" borderId="37" xfId="719" applyFont="1" applyFill="1" applyBorder="1" applyAlignment="1">
      <alignment horizontal="center" vertical="center"/>
    </xf>
    <xf numFmtId="169" fontId="15" fillId="73" borderId="64" xfId="719" applyNumberFormat="1" applyFont="1" applyFill="1" applyBorder="1" applyAlignment="1">
      <alignment horizontal="center" vertical="center"/>
    </xf>
    <xf numFmtId="202" fontId="19" fillId="0" borderId="0" xfId="2617" applyNumberFormat="1"/>
    <xf numFmtId="2" fontId="12" fillId="0" borderId="63" xfId="0" applyNumberFormat="1" applyFont="1" applyBorder="1" applyAlignment="1">
      <alignment horizontal="center" vertical="center" wrapText="1"/>
    </xf>
    <xf numFmtId="0" fontId="29" fillId="90" borderId="57" xfId="2778" applyFont="1" applyFill="1" applyBorder="1" applyAlignment="1">
      <alignment horizontal="center" vertical="center"/>
    </xf>
    <xf numFmtId="0" fontId="10" fillId="0" borderId="0" xfId="2778" applyFont="1"/>
    <xf numFmtId="0" fontId="192" fillId="0" borderId="0" xfId="2777" applyFont="1"/>
    <xf numFmtId="2" fontId="6" fillId="0" borderId="0" xfId="2778" applyNumberFormat="1"/>
    <xf numFmtId="2" fontId="3" fillId="0" borderId="0" xfId="2777" applyNumberFormat="1"/>
    <xf numFmtId="2" fontId="12" fillId="0" borderId="4" xfId="2778" applyNumberFormat="1" applyFont="1" applyBorder="1" applyAlignment="1">
      <alignment horizontal="center" vertical="center" wrapText="1"/>
    </xf>
    <xf numFmtId="2" fontId="6" fillId="0" borderId="4" xfId="2778" applyNumberFormat="1" applyBorder="1"/>
    <xf numFmtId="2" fontId="29" fillId="90" borderId="4" xfId="2778" applyNumberFormat="1" applyFont="1" applyFill="1" applyBorder="1" applyAlignment="1">
      <alignment horizontal="center" vertical="center" wrapText="1"/>
    </xf>
    <xf numFmtId="2" fontId="29" fillId="87" borderId="4" xfId="2778" applyNumberFormat="1" applyFont="1" applyFill="1" applyBorder="1" applyAlignment="1">
      <alignment horizontal="center" vertical="center" wrapText="1"/>
    </xf>
    <xf numFmtId="2" fontId="12" fillId="0" borderId="19" xfId="2778" applyNumberFormat="1" applyFont="1" applyBorder="1" applyAlignment="1">
      <alignment horizontal="center" vertical="center" wrapText="1"/>
    </xf>
    <xf numFmtId="2" fontId="15" fillId="0" borderId="19" xfId="2778" applyNumberFormat="1" applyFont="1" applyBorder="1" applyAlignment="1">
      <alignment horizontal="left" vertical="center" wrapText="1"/>
    </xf>
    <xf numFmtId="2" fontId="177" fillId="0" borderId="0" xfId="2778" applyNumberFormat="1" applyFont="1"/>
    <xf numFmtId="2" fontId="15" fillId="0" borderId="19" xfId="2778" applyNumberFormat="1" applyFont="1" applyBorder="1" applyAlignment="1">
      <alignment horizontal="center" vertical="center" wrapText="1"/>
    </xf>
    <xf numFmtId="2" fontId="15" fillId="0" borderId="4" xfId="2778" applyNumberFormat="1" applyFont="1" applyBorder="1" applyAlignment="1">
      <alignment horizontal="left" vertical="center" wrapText="1"/>
    </xf>
    <xf numFmtId="2" fontId="12" fillId="0" borderId="19" xfId="2778" applyNumberFormat="1" applyFont="1" applyBorder="1" applyAlignment="1">
      <alignment horizontal="left" vertical="center" wrapText="1"/>
    </xf>
    <xf numFmtId="2" fontId="12" fillId="0" borderId="0" xfId="2778" applyNumberFormat="1" applyFont="1" applyBorder="1" applyAlignment="1">
      <alignment horizontal="left" vertical="center" wrapText="1"/>
    </xf>
    <xf numFmtId="2" fontId="12" fillId="0" borderId="0" xfId="2778" applyNumberFormat="1" applyFont="1" applyBorder="1" applyAlignment="1">
      <alignment horizontal="center" vertical="center" wrapText="1"/>
    </xf>
    <xf numFmtId="2" fontId="10" fillId="0" borderId="0" xfId="2778" applyNumberFormat="1" applyFont="1" applyBorder="1" applyAlignment="1">
      <alignment horizontal="center" vertical="center" wrapText="1"/>
    </xf>
    <xf numFmtId="2" fontId="11" fillId="0" borderId="0" xfId="2778" applyNumberFormat="1" applyFont="1" applyAlignment="1">
      <alignment horizontal="center" vertical="center"/>
    </xf>
    <xf numFmtId="2" fontId="13" fillId="0" borderId="0" xfId="2778" applyNumberFormat="1" applyFont="1" applyFill="1" applyBorder="1" applyAlignment="1" applyProtection="1">
      <alignment horizontal="center" vertical="center"/>
    </xf>
    <xf numFmtId="2" fontId="6" fillId="0" borderId="0" xfId="2778" applyNumberFormat="1" applyBorder="1"/>
    <xf numFmtId="2" fontId="29" fillId="90" borderId="0" xfId="2778" applyNumberFormat="1" applyFont="1" applyFill="1" applyBorder="1" applyAlignment="1">
      <alignment horizontal="center" vertical="center" wrapText="1"/>
    </xf>
    <xf numFmtId="2" fontId="170" fillId="0" borderId="0" xfId="2778" applyNumberFormat="1" applyFont="1" applyFill="1" applyBorder="1" applyAlignment="1">
      <alignment horizontal="center" vertical="center" wrapText="1"/>
    </xf>
    <xf numFmtId="2" fontId="12" fillId="0" borderId="0" xfId="2778" applyNumberFormat="1" applyFont="1" applyAlignment="1">
      <alignment horizontal="left" vertical="center" wrapText="1"/>
    </xf>
    <xf numFmtId="0" fontId="15" fillId="90" borderId="29" xfId="719" applyFont="1" applyFill="1" applyBorder="1" applyAlignment="1">
      <alignment vertical="center"/>
    </xf>
    <xf numFmtId="0" fontId="177" fillId="0" borderId="4" xfId="2778" applyFont="1" applyFill="1" applyBorder="1"/>
    <xf numFmtId="0" fontId="15" fillId="87" borderId="4" xfId="2778" applyNumberFormat="1" applyFont="1" applyFill="1" applyBorder="1" applyAlignment="1">
      <alignment horizontal="center" vertical="center" wrapText="1"/>
    </xf>
    <xf numFmtId="0" fontId="15" fillId="87" borderId="4" xfId="2778" applyFont="1" applyFill="1" applyBorder="1" applyAlignment="1">
      <alignment horizontal="center" vertical="center" wrapText="1"/>
    </xf>
    <xf numFmtId="0" fontId="177" fillId="0" borderId="0" xfId="2778" applyFont="1" applyAlignment="1">
      <alignment horizontal="center"/>
    </xf>
    <xf numFmtId="0" fontId="3" fillId="0" borderId="0" xfId="2777" applyAlignment="1">
      <alignment horizontal="center"/>
    </xf>
    <xf numFmtId="204" fontId="15" fillId="87" borderId="32" xfId="2664" applyNumberFormat="1" applyFont="1" applyFill="1" applyBorder="1" applyAlignment="1">
      <alignment horizontal="center" vertical="center"/>
    </xf>
    <xf numFmtId="4" fontId="19" fillId="3" borderId="26" xfId="2617" applyNumberFormat="1" applyFont="1" applyFill="1" applyBorder="1" applyProtection="1">
      <protection locked="0"/>
    </xf>
    <xf numFmtId="171" fontId="19" fillId="3" borderId="26" xfId="2617" applyNumberFormat="1" applyFont="1" applyFill="1" applyBorder="1" applyProtection="1">
      <protection locked="0"/>
    </xf>
    <xf numFmtId="4" fontId="17" fillId="0" borderId="47" xfId="2617" applyNumberFormat="1" applyFont="1" applyBorder="1" applyAlignment="1"/>
    <xf numFmtId="10" fontId="17" fillId="0" borderId="38" xfId="2664" applyNumberFormat="1" applyFont="1" applyBorder="1" applyAlignment="1"/>
    <xf numFmtId="10" fontId="17" fillId="0" borderId="39" xfId="2664" applyNumberFormat="1" applyFont="1" applyBorder="1" applyAlignment="1"/>
    <xf numFmtId="202" fontId="15" fillId="0" borderId="0" xfId="0" applyNumberFormat="1" applyFont="1" applyAlignment="1">
      <alignment vertical="center"/>
    </xf>
    <xf numFmtId="169" fontId="15" fillId="0" borderId="0" xfId="0" applyNumberFormat="1" applyFont="1" applyAlignment="1">
      <alignment vertical="center"/>
    </xf>
    <xf numFmtId="172" fontId="10" fillId="52" borderId="4" xfId="0" applyNumberFormat="1" applyFont="1" applyFill="1" applyBorder="1" applyAlignment="1" applyProtection="1">
      <alignment horizontal="center"/>
      <protection locked="0"/>
    </xf>
    <xf numFmtId="170" fontId="10" fillId="0" borderId="4" xfId="0" applyNumberFormat="1" applyFont="1" applyBorder="1" applyAlignment="1" applyProtection="1">
      <alignment horizontal="center" wrapText="1"/>
      <protection locked="0"/>
    </xf>
    <xf numFmtId="172" fontId="10" fillId="0" borderId="4" xfId="0" applyNumberFormat="1" applyFont="1" applyBorder="1" applyAlignment="1" applyProtection="1">
      <alignment horizontal="center" wrapText="1"/>
      <protection locked="0"/>
    </xf>
    <xf numFmtId="172" fontId="11" fillId="0" borderId="4" xfId="0" applyNumberFormat="1" applyFont="1" applyFill="1" applyBorder="1" applyAlignment="1" applyProtection="1">
      <alignment horizontal="center"/>
      <protection locked="0"/>
    </xf>
    <xf numFmtId="173" fontId="10" fillId="0" borderId="4" xfId="0" applyNumberFormat="1" applyFont="1" applyBorder="1" applyAlignment="1" applyProtection="1">
      <alignment horizontal="center" wrapText="1"/>
      <protection locked="0"/>
    </xf>
    <xf numFmtId="172" fontId="11" fillId="52" borderId="4" xfId="0" applyNumberFormat="1" applyFont="1" applyFill="1" applyBorder="1" applyAlignment="1" applyProtection="1">
      <alignment horizontal="center"/>
      <protection locked="0"/>
    </xf>
    <xf numFmtId="170" fontId="10" fillId="72" borderId="4" xfId="0" applyNumberFormat="1" applyFont="1" applyFill="1" applyBorder="1" applyAlignment="1">
      <alignment horizontal="center" wrapText="1"/>
    </xf>
    <xf numFmtId="205" fontId="0" fillId="0" borderId="0" xfId="0" applyNumberFormat="1"/>
    <xf numFmtId="0" fontId="49" fillId="87" borderId="0" xfId="2776" applyFill="1"/>
    <xf numFmtId="0" fontId="49" fillId="0" borderId="4" xfId="2776" applyFont="1" applyBorder="1" applyAlignment="1">
      <alignment horizontal="center"/>
    </xf>
    <xf numFmtId="0" fontId="49" fillId="0" borderId="4" xfId="2776" applyBorder="1" applyAlignment="1">
      <alignment wrapText="1"/>
    </xf>
    <xf numFmtId="0" fontId="0" fillId="0" borderId="4" xfId="0" applyBorder="1"/>
    <xf numFmtId="0" fontId="0" fillId="0" borderId="0" xfId="0"/>
    <xf numFmtId="0" fontId="10" fillId="0" borderId="4" xfId="719" applyFont="1" applyBorder="1" applyAlignment="1" applyProtection="1">
      <alignment wrapText="1"/>
      <protection locked="0"/>
    </xf>
    <xf numFmtId="4" fontId="10" fillId="88" borderId="4" xfId="719" applyNumberFormat="1" applyFont="1" applyFill="1" applyBorder="1"/>
    <xf numFmtId="0" fontId="10" fillId="0" borderId="0" xfId="719" applyFont="1"/>
    <xf numFmtId="0" fontId="10" fillId="0" borderId="4" xfId="719" applyFont="1" applyBorder="1" applyAlignment="1">
      <alignment wrapText="1"/>
    </xf>
    <xf numFmtId="4" fontId="10" fillId="89" borderId="4" xfId="719" applyNumberFormat="1" applyFont="1" applyFill="1" applyBorder="1"/>
    <xf numFmtId="10" fontId="10" fillId="89" borderId="4" xfId="2668" applyNumberFormat="1" applyFont="1" applyFill="1" applyBorder="1" applyAlignment="1"/>
    <xf numFmtId="2" fontId="10" fillId="89" borderId="4" xfId="719" applyNumberFormat="1" applyFont="1" applyFill="1" applyBorder="1"/>
    <xf numFmtId="2" fontId="10" fillId="0" borderId="4" xfId="719" applyNumberFormat="1" applyFont="1" applyBorder="1"/>
    <xf numFmtId="0" fontId="41" fillId="0" borderId="4" xfId="719" applyFont="1" applyBorder="1" applyAlignment="1">
      <alignment wrapText="1"/>
    </xf>
    <xf numFmtId="4" fontId="14" fillId="0" borderId="4" xfId="719" applyNumberFormat="1" applyFont="1" applyBorder="1"/>
    <xf numFmtId="0" fontId="11" fillId="0" borderId="4" xfId="719" applyFont="1" applyBorder="1" applyAlignment="1">
      <alignment wrapText="1"/>
    </xf>
    <xf numFmtId="4" fontId="41" fillId="0" borderId="4" xfId="719" applyNumberFormat="1" applyFont="1" applyBorder="1"/>
    <xf numFmtId="0" fontId="11" fillId="0" borderId="4" xfId="2619" applyFont="1" applyBorder="1" applyAlignment="1">
      <alignment horizontal="center" vertical="center" wrapText="1"/>
    </xf>
    <xf numFmtId="0" fontId="52" fillId="0" borderId="4" xfId="2619" applyFont="1" applyBorder="1" applyAlignment="1">
      <alignment horizontal="center" vertical="center" wrapText="1"/>
    </xf>
    <xf numFmtId="0" fontId="10" fillId="0" borderId="4" xfId="2619" applyFont="1" applyBorder="1"/>
    <xf numFmtId="0" fontId="11" fillId="0" borderId="4" xfId="2619" applyFont="1" applyBorder="1"/>
    <xf numFmtId="169" fontId="10" fillId="52" borderId="4" xfId="0" applyNumberFormat="1" applyFont="1" applyFill="1" applyBorder="1" applyAlignment="1" applyProtection="1">
      <alignment horizontal="center" vertical="center" wrapText="1" shrinkToFit="1"/>
      <protection locked="0"/>
    </xf>
    <xf numFmtId="2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4" xfId="713" applyFont="1" applyBorder="1" applyAlignment="1">
      <alignment horizontal="center" vertical="top" wrapText="1"/>
    </xf>
    <xf numFmtId="0" fontId="0" fillId="0" borderId="0" xfId="0"/>
    <xf numFmtId="0" fontId="193" fillId="0" borderId="4" xfId="713" applyFont="1" applyBorder="1" applyAlignment="1">
      <alignment horizontal="center"/>
    </xf>
    <xf numFmtId="2" fontId="193" fillId="0" borderId="4" xfId="713" applyNumberFormat="1" applyFont="1" applyBorder="1" applyAlignment="1">
      <alignment horizontal="center"/>
    </xf>
    <xf numFmtId="0" fontId="193" fillId="0" borderId="0" xfId="713" applyFont="1" applyAlignment="1">
      <alignment horizontal="center"/>
    </xf>
    <xf numFmtId="0" fontId="195" fillId="0" borderId="0" xfId="2780" applyFont="1" applyAlignment="1">
      <alignment horizontal="center" vertical="center"/>
    </xf>
    <xf numFmtId="0" fontId="194" fillId="0" borderId="0" xfId="2780"/>
    <xf numFmtId="166" fontId="194" fillId="0" borderId="0" xfId="2780" applyNumberFormat="1"/>
    <xf numFmtId="0" fontId="192" fillId="0" borderId="68" xfId="2780" applyFont="1" applyBorder="1" applyAlignment="1">
      <alignment horizontal="center" vertical="center"/>
    </xf>
    <xf numFmtId="0" fontId="194" fillId="0" borderId="4" xfId="2780" applyBorder="1" applyAlignment="1">
      <alignment vertical="top" wrapText="1"/>
    </xf>
    <xf numFmtId="0" fontId="194" fillId="0" borderId="4" xfId="2780" applyBorder="1" applyAlignment="1">
      <alignment vertical="top"/>
    </xf>
    <xf numFmtId="0" fontId="194" fillId="91" borderId="4" xfId="2780" applyFill="1" applyBorder="1" applyAlignment="1">
      <alignment vertical="top" wrapText="1"/>
    </xf>
    <xf numFmtId="0" fontId="194" fillId="91" borderId="4" xfId="2780" applyFill="1" applyBorder="1" applyAlignment="1">
      <alignment vertical="top"/>
    </xf>
    <xf numFmtId="0" fontId="194" fillId="88" borderId="4" xfId="2780" applyFill="1" applyBorder="1" applyAlignment="1">
      <alignment vertical="top" wrapText="1"/>
    </xf>
    <xf numFmtId="166" fontId="194" fillId="91" borderId="4" xfId="2780" applyNumberFormat="1" applyFill="1" applyBorder="1" applyAlignment="1">
      <alignment vertical="top" wrapText="1"/>
    </xf>
    <xf numFmtId="166" fontId="194" fillId="91" borderId="4" xfId="2780" applyNumberFormat="1" applyFill="1" applyBorder="1" applyAlignment="1">
      <alignment vertical="top"/>
    </xf>
    <xf numFmtId="0" fontId="194" fillId="0" borderId="0" xfId="2780" applyAlignment="1">
      <alignment vertical="top"/>
    </xf>
    <xf numFmtId="0" fontId="195" fillId="0" borderId="0" xfId="2780" applyFont="1" applyBorder="1" applyAlignment="1">
      <alignment horizontal="center" vertical="center"/>
    </xf>
    <xf numFmtId="0" fontId="194" fillId="91" borderId="0" xfId="2780" applyFill="1"/>
    <xf numFmtId="0" fontId="162" fillId="91" borderId="0" xfId="2780" applyFont="1" applyFill="1"/>
    <xf numFmtId="166" fontId="162" fillId="91" borderId="0" xfId="2780" applyNumberFormat="1" applyFont="1" applyFill="1"/>
    <xf numFmtId="0" fontId="195" fillId="0" borderId="27" xfId="2780" applyFont="1" applyBorder="1" applyAlignment="1">
      <alignment horizontal="center" vertical="center"/>
    </xf>
    <xf numFmtId="0" fontId="162" fillId="0" borderId="4" xfId="2780" applyFont="1" applyBorder="1"/>
    <xf numFmtId="0" fontId="162" fillId="91" borderId="4" xfId="2780" applyFont="1" applyFill="1" applyBorder="1"/>
    <xf numFmtId="166" fontId="162" fillId="91" borderId="4" xfId="2780" applyNumberFormat="1" applyFont="1" applyFill="1" applyBorder="1"/>
    <xf numFmtId="0" fontId="162" fillId="0" borderId="71" xfId="2780" applyFont="1" applyFill="1" applyBorder="1"/>
    <xf numFmtId="0" fontId="33" fillId="88" borderId="27" xfId="2780" applyFont="1" applyFill="1" applyBorder="1" applyAlignment="1">
      <alignment horizontal="left" vertical="center" wrapText="1"/>
    </xf>
    <xf numFmtId="0" fontId="194" fillId="0" borderId="4" xfId="2780" applyBorder="1"/>
    <xf numFmtId="0" fontId="33" fillId="88" borderId="4" xfId="2780" applyFont="1" applyFill="1" applyBorder="1" applyAlignment="1">
      <alignment horizontal="left" vertical="center" wrapText="1"/>
    </xf>
    <xf numFmtId="0" fontId="33" fillId="88" borderId="0" xfId="2780" applyFont="1" applyFill="1" applyBorder="1" applyAlignment="1">
      <alignment horizontal="left" vertical="center" wrapText="1"/>
    </xf>
    <xf numFmtId="0" fontId="62" fillId="88" borderId="4" xfId="2780" applyFont="1" applyFill="1" applyBorder="1" applyAlignment="1">
      <alignment horizontal="left" vertical="center" wrapText="1"/>
    </xf>
    <xf numFmtId="0" fontId="194" fillId="91" borderId="4" xfId="2780" applyFill="1" applyBorder="1"/>
    <xf numFmtId="0" fontId="11" fillId="88" borderId="4" xfId="2780" applyFont="1" applyFill="1" applyBorder="1" applyAlignment="1">
      <alignment horizontal="left" vertical="center" wrapText="1"/>
    </xf>
    <xf numFmtId="0" fontId="195" fillId="0" borderId="4" xfId="2780" applyFont="1" applyBorder="1" applyAlignment="1">
      <alignment horizontal="left" vertical="center"/>
    </xf>
    <xf numFmtId="166" fontId="196" fillId="87" borderId="0" xfId="2780" applyNumberFormat="1" applyFont="1" applyFill="1"/>
    <xf numFmtId="0" fontId="60" fillId="0" borderId="4" xfId="713" applyFont="1" applyBorder="1" applyAlignment="1">
      <alignment wrapText="1"/>
    </xf>
    <xf numFmtId="166" fontId="197" fillId="91" borderId="4" xfId="2780" applyNumberFormat="1" applyFont="1" applyFill="1" applyBorder="1"/>
    <xf numFmtId="0" fontId="192" fillId="0" borderId="4" xfId="2780" applyFont="1" applyBorder="1" applyAlignment="1">
      <alignment horizontal="left" vertical="center"/>
    </xf>
    <xf numFmtId="0" fontId="198" fillId="0" borderId="4" xfId="2780" applyFont="1" applyBorder="1"/>
    <xf numFmtId="0" fontId="199" fillId="0" borderId="4" xfId="2780" applyFont="1" applyBorder="1"/>
    <xf numFmtId="0" fontId="2" fillId="0" borderId="4" xfId="2780" applyFont="1" applyBorder="1"/>
    <xf numFmtId="166" fontId="200" fillId="91" borderId="4" xfId="2780" applyNumberFormat="1" applyFont="1" applyFill="1" applyBorder="1"/>
    <xf numFmtId="0" fontId="201" fillId="91" borderId="4" xfId="2780" applyFont="1" applyFill="1" applyBorder="1"/>
    <xf numFmtId="0" fontId="17" fillId="0" borderId="4" xfId="2780" applyFont="1" applyBorder="1" applyAlignment="1">
      <alignment horizontal="left" vertical="center"/>
    </xf>
    <xf numFmtId="0" fontId="33" fillId="88" borderId="4" xfId="2780" applyFont="1" applyFill="1" applyBorder="1" applyAlignment="1">
      <alignment horizontal="left" vertical="center"/>
    </xf>
    <xf numFmtId="166" fontId="196" fillId="0" borderId="0" xfId="2780" applyNumberFormat="1" applyFont="1"/>
    <xf numFmtId="166" fontId="202" fillId="91" borderId="4" xfId="2780" applyNumberFormat="1" applyFont="1" applyFill="1" applyBorder="1"/>
    <xf numFmtId="0" fontId="32" fillId="88" borderId="4" xfId="2780" applyFont="1" applyFill="1" applyBorder="1" applyAlignment="1">
      <alignment horizontal="left" vertical="center" wrapText="1"/>
    </xf>
    <xf numFmtId="0" fontId="201" fillId="0" borderId="4" xfId="2780" applyFont="1" applyBorder="1"/>
    <xf numFmtId="0" fontId="200" fillId="0" borderId="4" xfId="2780" applyFont="1" applyBorder="1"/>
    <xf numFmtId="0" fontId="32" fillId="88" borderId="4" xfId="2780" applyFont="1" applyFill="1" applyBorder="1" applyAlignment="1">
      <alignment horizontal="center" vertical="center" wrapText="1"/>
    </xf>
    <xf numFmtId="0" fontId="203" fillId="0" borderId="4" xfId="2780" applyFont="1" applyBorder="1"/>
    <xf numFmtId="0" fontId="203" fillId="91" borderId="4" xfId="2780" applyFont="1" applyFill="1" applyBorder="1"/>
    <xf numFmtId="0" fontId="204" fillId="0" borderId="4" xfId="2780" applyFont="1" applyBorder="1"/>
    <xf numFmtId="0" fontId="205" fillId="0" borderId="4" xfId="2780" applyFont="1" applyBorder="1"/>
    <xf numFmtId="0" fontId="32" fillId="88" borderId="53" xfId="2780" applyFont="1" applyFill="1" applyBorder="1" applyAlignment="1">
      <alignment horizontal="center" vertical="center" wrapText="1"/>
    </xf>
    <xf numFmtId="0" fontId="0" fillId="0" borderId="4" xfId="713" applyFont="1" applyBorder="1"/>
    <xf numFmtId="166" fontId="200" fillId="92" borderId="4" xfId="2780" applyNumberFormat="1" applyFont="1" applyFill="1" applyBorder="1"/>
    <xf numFmtId="166" fontId="200" fillId="93" borderId="4" xfId="2780" applyNumberFormat="1" applyFont="1" applyFill="1" applyBorder="1"/>
    <xf numFmtId="0" fontId="6" fillId="87" borderId="4" xfId="713" applyFill="1" applyBorder="1" applyAlignment="1">
      <alignment horizontal="center"/>
    </xf>
    <xf numFmtId="4" fontId="0" fillId="0" borderId="4" xfId="0" applyNumberFormat="1" applyBorder="1"/>
    <xf numFmtId="3" fontId="10" fillId="72" borderId="4" xfId="0" applyNumberFormat="1" applyFont="1" applyFill="1" applyBorder="1" applyAlignment="1">
      <alignment horizontal="center" wrapText="1"/>
    </xf>
    <xf numFmtId="4" fontId="11" fillId="72" borderId="4" xfId="0" applyNumberFormat="1" applyFont="1" applyFill="1" applyBorder="1" applyAlignment="1" applyProtection="1">
      <alignment horizontal="center" wrapText="1"/>
      <protection locked="0"/>
    </xf>
    <xf numFmtId="169" fontId="11" fillId="52" borderId="4" xfId="0" applyNumberFormat="1" applyFont="1" applyFill="1" applyBorder="1" applyAlignment="1">
      <alignment horizontal="center"/>
    </xf>
    <xf numFmtId="0" fontId="6" fillId="0" borderId="0" xfId="0" applyFont="1"/>
    <xf numFmtId="0" fontId="174" fillId="0" borderId="4" xfId="0" applyFont="1" applyBorder="1" applyAlignment="1">
      <alignment wrapText="1"/>
    </xf>
    <xf numFmtId="3" fontId="10" fillId="52" borderId="4" xfId="0" applyNumberFormat="1" applyFont="1" applyFill="1" applyBorder="1"/>
    <xf numFmtId="0" fontId="185" fillId="0" borderId="4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 wrapText="1"/>
    </xf>
    <xf numFmtId="0" fontId="0" fillId="0" borderId="4" xfId="0" applyBorder="1"/>
    <xf numFmtId="0" fontId="19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5" fillId="0" borderId="29" xfId="2778" applyFont="1" applyFill="1" applyBorder="1" applyAlignment="1">
      <alignment horizontal="center" vertical="center" wrapText="1"/>
    </xf>
    <xf numFmtId="0" fontId="63" fillId="0" borderId="19" xfId="2778" applyFont="1" applyBorder="1" applyAlignment="1">
      <alignment horizontal="left" vertical="top" wrapText="1"/>
    </xf>
    <xf numFmtId="0" fontId="15" fillId="87" borderId="0" xfId="719" applyFont="1" applyFill="1" applyBorder="1" applyAlignment="1">
      <alignment vertical="center" wrapText="1"/>
    </xf>
    <xf numFmtId="0" fontId="12" fillId="0" borderId="4" xfId="0" applyFont="1" applyBorder="1" applyAlignment="1">
      <alignment vertical="top" wrapText="1"/>
    </xf>
    <xf numFmtId="0" fontId="12" fillId="0" borderId="4" xfId="719" applyFont="1" applyBorder="1" applyAlignment="1">
      <alignment horizontal="right" vertical="center" wrapText="1"/>
    </xf>
    <xf numFmtId="0" fontId="0" fillId="0" borderId="4" xfId="713" applyFont="1" applyBorder="1" applyAlignment="1">
      <alignment horizontal="center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171" fontId="27" fillId="0" borderId="26" xfId="0" applyNumberFormat="1" applyFont="1" applyBorder="1" applyAlignment="1"/>
    <xf numFmtId="166" fontId="10" fillId="0" borderId="0" xfId="0" applyNumberFormat="1" applyFont="1" applyProtection="1">
      <protection locked="0"/>
    </xf>
    <xf numFmtId="0" fontId="11" fillId="52" borderId="4" xfId="0" applyFont="1" applyFill="1" applyBorder="1" applyAlignment="1" applyProtection="1">
      <alignment horizontal="center" vertical="center" wrapText="1" shrinkToFit="1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/>
    <xf numFmtId="0" fontId="1" fillId="0" borderId="0" xfId="717" applyFont="1"/>
    <xf numFmtId="0" fontId="1" fillId="72" borderId="0" xfId="717" applyFont="1" applyFill="1"/>
    <xf numFmtId="0" fontId="14" fillId="0" borderId="4" xfId="717" applyFont="1" applyBorder="1" applyAlignment="1">
      <alignment horizontal="left" vertical="center"/>
    </xf>
    <xf numFmtId="0" fontId="14" fillId="0" borderId="4" xfId="717" applyFont="1" applyBorder="1" applyAlignment="1">
      <alignment horizontal="center" vertical="center"/>
    </xf>
    <xf numFmtId="0" fontId="1" fillId="0" borderId="0" xfId="717" applyFont="1" applyAlignment="1">
      <alignment horizontal="center"/>
    </xf>
    <xf numFmtId="0" fontId="1" fillId="0" borderId="0" xfId="717" applyFont="1" applyAlignment="1">
      <alignment horizontal="center" vertical="center"/>
    </xf>
    <xf numFmtId="3" fontId="1" fillId="0" borderId="0" xfId="717" applyNumberFormat="1" applyFont="1" applyAlignment="1">
      <alignment horizontal="center" vertical="center"/>
    </xf>
    <xf numFmtId="49" fontId="172" fillId="0" borderId="4" xfId="0" applyNumberFormat="1" applyFont="1" applyFill="1" applyBorder="1"/>
    <xf numFmtId="0" fontId="172" fillId="0" borderId="4" xfId="0" applyFont="1" applyFill="1" applyBorder="1"/>
    <xf numFmtId="0" fontId="42" fillId="57" borderId="0" xfId="0" applyFont="1" applyFill="1" applyAlignment="1">
      <alignment horizontal="center" wrapText="1"/>
    </xf>
    <xf numFmtId="0" fontId="43" fillId="57" borderId="0" xfId="0" applyFont="1" applyFill="1" applyAlignment="1">
      <alignment wrapText="1"/>
    </xf>
    <xf numFmtId="0" fontId="35" fillId="3" borderId="0" xfId="0" applyFont="1" applyFill="1" applyAlignment="1">
      <alignment horizontal="justify" wrapText="1"/>
    </xf>
    <xf numFmtId="0" fontId="30" fillId="3" borderId="0" xfId="0" applyFont="1" applyFill="1" applyAlignment="1">
      <alignment wrapText="1"/>
    </xf>
    <xf numFmtId="0" fontId="35" fillId="0" borderId="0" xfId="0" applyFont="1" applyAlignment="1">
      <alignment horizontal="justify"/>
    </xf>
    <xf numFmtId="0" fontId="0" fillId="0" borderId="0" xfId="0" applyAlignment="1"/>
    <xf numFmtId="0" fontId="29" fillId="0" borderId="0" xfId="0" applyFont="1" applyAlignment="1">
      <alignment horizontal="justify"/>
    </xf>
    <xf numFmtId="0" fontId="30" fillId="0" borderId="0" xfId="0" applyFont="1" applyAlignment="1"/>
    <xf numFmtId="0" fontId="29" fillId="0" borderId="72" xfId="0" applyFont="1" applyBorder="1" applyAlignment="1">
      <alignment horizontal="center" vertical="top" wrapText="1"/>
    </xf>
    <xf numFmtId="0" fontId="29" fillId="0" borderId="61" xfId="0" applyFont="1" applyBorder="1" applyAlignment="1">
      <alignment horizontal="center" vertical="top" wrapText="1"/>
    </xf>
    <xf numFmtId="0" fontId="35" fillId="0" borderId="72" xfId="0" applyFont="1" applyBorder="1" applyAlignment="1">
      <alignment horizontal="justify" vertical="top" wrapText="1"/>
    </xf>
    <xf numFmtId="0" fontId="35" fillId="0" borderId="73" xfId="0" applyFont="1" applyBorder="1" applyAlignment="1">
      <alignment horizontal="justify" vertical="top" wrapText="1"/>
    </xf>
    <xf numFmtId="0" fontId="35" fillId="0" borderId="61" xfId="0" applyFont="1" applyBorder="1" applyAlignment="1">
      <alignment horizontal="justify" vertical="top" wrapText="1"/>
    </xf>
    <xf numFmtId="0" fontId="29" fillId="0" borderId="73" xfId="0" applyFont="1" applyBorder="1" applyAlignment="1">
      <alignment horizontal="center" vertical="top" wrapText="1"/>
    </xf>
    <xf numFmtId="0" fontId="35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9" fillId="3" borderId="0" xfId="0" applyFont="1" applyFill="1" applyAlignment="1">
      <alignment horizontal="justify" wrapText="1"/>
    </xf>
    <xf numFmtId="0" fontId="29" fillId="3" borderId="0" xfId="0" applyFont="1" applyFill="1" applyAlignment="1">
      <alignment horizontal="justify"/>
    </xf>
    <xf numFmtId="0" fontId="0" fillId="3" borderId="0" xfId="0" applyFill="1" applyAlignment="1"/>
    <xf numFmtId="0" fontId="35" fillId="3" borderId="0" xfId="0" applyFont="1" applyFill="1" applyAlignment="1">
      <alignment horizontal="justify"/>
    </xf>
    <xf numFmtId="0" fontId="30" fillId="3" borderId="0" xfId="0" applyFont="1" applyFill="1" applyAlignment="1"/>
    <xf numFmtId="0" fontId="29" fillId="0" borderId="0" xfId="0" applyFont="1" applyAlignment="1">
      <alignment horizontal="justify" wrapText="1"/>
    </xf>
    <xf numFmtId="0" fontId="35" fillId="0" borderId="0" xfId="0" applyFont="1" applyAlignment="1">
      <alignment horizontal="center"/>
    </xf>
    <xf numFmtId="10" fontId="29" fillId="0" borderId="57" xfId="0" applyNumberFormat="1" applyFont="1" applyBorder="1" applyAlignment="1">
      <alignment horizontal="center" vertical="top"/>
    </xf>
    <xf numFmtId="10" fontId="29" fillId="0" borderId="28" xfId="0" applyNumberFormat="1" applyFont="1" applyBorder="1" applyAlignment="1">
      <alignment horizontal="center" vertical="top"/>
    </xf>
    <xf numFmtId="10" fontId="29" fillId="0" borderId="29" xfId="0" applyNumberFormat="1" applyFont="1" applyBorder="1" applyAlignment="1">
      <alignment horizontal="center" vertical="top"/>
    </xf>
    <xf numFmtId="0" fontId="29" fillId="0" borderId="4" xfId="0" applyFont="1" applyBorder="1" applyAlignment="1">
      <alignment horizontal="center" vertical="top"/>
    </xf>
    <xf numFmtId="0" fontId="29" fillId="0" borderId="27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29" fillId="0" borderId="27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45" fillId="0" borderId="57" xfId="0" applyFont="1" applyBorder="1" applyAlignment="1">
      <alignment horizontal="center" vertical="top" wrapText="1"/>
    </xf>
    <xf numFmtId="0" fontId="29" fillId="0" borderId="28" xfId="0" applyFont="1" applyBorder="1" applyAlignment="1">
      <alignment horizontal="center" vertical="top" wrapText="1"/>
    </xf>
    <xf numFmtId="0" fontId="29" fillId="0" borderId="29" xfId="0" applyFont="1" applyBorder="1" applyAlignment="1">
      <alignment horizontal="center" vertical="top" wrapText="1"/>
    </xf>
    <xf numFmtId="0" fontId="29" fillId="0" borderId="0" xfId="0" applyFont="1" applyAlignment="1">
      <alignment horizontal="center" wrapText="1"/>
    </xf>
    <xf numFmtId="0" fontId="169" fillId="0" borderId="0" xfId="0" applyFont="1" applyAlignment="1">
      <alignment horizontal="center"/>
    </xf>
    <xf numFmtId="0" fontId="29" fillId="0" borderId="0" xfId="0" applyFont="1" applyAlignment="1">
      <alignment horizontal="center" vertical="top"/>
    </xf>
    <xf numFmtId="0" fontId="29" fillId="0" borderId="4" xfId="0" applyFont="1" applyBorder="1" applyAlignment="1">
      <alignment horizontal="center"/>
    </xf>
    <xf numFmtId="0" fontId="45" fillId="0" borderId="27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 wrapText="1"/>
    </xf>
    <xf numFmtId="0" fontId="45" fillId="0" borderId="57" xfId="0" applyFont="1" applyFill="1" applyBorder="1" applyAlignment="1">
      <alignment horizontal="center" vertical="center" textRotation="90" wrapText="1"/>
    </xf>
    <xf numFmtId="0" fontId="45" fillId="0" borderId="28" xfId="0" applyFont="1" applyFill="1" applyBorder="1" applyAlignment="1">
      <alignment horizontal="center" vertical="center" textRotation="90" wrapText="1"/>
    </xf>
    <xf numFmtId="0" fontId="45" fillId="0" borderId="29" xfId="0" applyFont="1" applyFill="1" applyBorder="1" applyAlignment="1">
      <alignment horizontal="center" vertical="center" textRotation="90" wrapText="1"/>
    </xf>
    <xf numFmtId="0" fontId="29" fillId="0" borderId="0" xfId="0" applyFont="1" applyAlignment="1"/>
    <xf numFmtId="0" fontId="45" fillId="0" borderId="53" xfId="0" applyFont="1" applyBorder="1" applyAlignment="1">
      <alignment horizontal="center" vertical="center" wrapText="1"/>
    </xf>
    <xf numFmtId="0" fontId="29" fillId="57" borderId="4" xfId="0" applyFont="1" applyFill="1" applyBorder="1" applyAlignment="1">
      <alignment horizontal="left" vertical="top" shrinkToFit="1"/>
    </xf>
    <xf numFmtId="0" fontId="29" fillId="57" borderId="4" xfId="0" applyFont="1" applyFill="1" applyBorder="1" applyAlignment="1">
      <alignment vertical="top" shrinkToFit="1"/>
    </xf>
    <xf numFmtId="0" fontId="29" fillId="57" borderId="4" xfId="0" applyFont="1" applyFill="1" applyBorder="1" applyAlignment="1">
      <alignment vertical="top" wrapText="1"/>
    </xf>
    <xf numFmtId="0" fontId="35" fillId="0" borderId="4" xfId="0" applyFont="1" applyBorder="1" applyAlignment="1">
      <alignment horizontal="center" vertical="top"/>
    </xf>
    <xf numFmtId="0" fontId="29" fillId="57" borderId="57" xfId="0" applyFont="1" applyFill="1" applyBorder="1" applyAlignment="1" applyProtection="1">
      <alignment horizontal="center" wrapText="1"/>
      <protection locked="0"/>
    </xf>
    <xf numFmtId="0" fontId="29" fillId="57" borderId="28" xfId="0" applyFont="1" applyFill="1" applyBorder="1" applyAlignment="1" applyProtection="1">
      <alignment horizontal="center" wrapText="1"/>
      <protection locked="0"/>
    </xf>
    <xf numFmtId="0" fontId="29" fillId="57" borderId="29" xfId="0" applyFont="1" applyFill="1" applyBorder="1" applyAlignment="1" applyProtection="1">
      <alignment horizontal="center" wrapText="1"/>
      <protection locked="0"/>
    </xf>
    <xf numFmtId="0" fontId="29" fillId="57" borderId="4" xfId="0" applyFont="1" applyFill="1" applyBorder="1" applyAlignment="1">
      <alignment vertical="top" wrapText="1" shrinkToFit="1"/>
    </xf>
    <xf numFmtId="0" fontId="19" fillId="0" borderId="4" xfId="2620" applyBorder="1" applyAlignment="1">
      <alignment horizontal="center" vertical="center"/>
    </xf>
    <xf numFmtId="0" fontId="19" fillId="0" borderId="4" xfId="2620" applyBorder="1" applyAlignment="1">
      <alignment horizontal="center" vertical="center" wrapText="1"/>
    </xf>
    <xf numFmtId="0" fontId="19" fillId="0" borderId="36" xfId="2620" applyBorder="1" applyAlignment="1">
      <alignment horizontal="left" vertical="center" indent="7"/>
    </xf>
    <xf numFmtId="0" fontId="19" fillId="0" borderId="37" xfId="2620" applyBorder="1" applyAlignment="1">
      <alignment horizontal="left" vertical="center" indent="7"/>
    </xf>
    <xf numFmtId="0" fontId="19" fillId="0" borderId="38" xfId="2620" applyBorder="1" applyAlignment="1">
      <alignment horizontal="left" vertical="center" indent="7"/>
    </xf>
    <xf numFmtId="0" fontId="19" fillId="0" borderId="25" xfId="2620" applyBorder="1" applyAlignment="1">
      <alignment horizontal="center" vertical="center" wrapText="1"/>
    </xf>
    <xf numFmtId="0" fontId="19" fillId="0" borderId="33" xfId="2620" applyBorder="1" applyAlignment="1">
      <alignment horizontal="center" vertical="center" wrapText="1"/>
    </xf>
    <xf numFmtId="0" fontId="19" fillId="0" borderId="30" xfId="2620" applyBorder="1" applyAlignment="1">
      <alignment horizontal="left" vertical="center" wrapText="1" indent="1"/>
    </xf>
    <xf numFmtId="0" fontId="19" fillId="0" borderId="4" xfId="2620" applyBorder="1" applyAlignment="1">
      <alignment horizontal="left" vertical="center" wrapText="1" indent="1"/>
    </xf>
    <xf numFmtId="0" fontId="8" fillId="0" borderId="4" xfId="2620" applyFont="1" applyBorder="1" applyAlignment="1">
      <alignment horizontal="center" vertical="center" wrapText="1"/>
    </xf>
    <xf numFmtId="0" fontId="19" fillId="0" borderId="33" xfId="2620" applyBorder="1" applyAlignment="1">
      <alignment horizontal="center" vertical="center"/>
    </xf>
    <xf numFmtId="0" fontId="19" fillId="0" borderId="0" xfId="2620" applyFont="1" applyAlignment="1">
      <alignment horizontal="left" wrapText="1"/>
    </xf>
    <xf numFmtId="0" fontId="19" fillId="0" borderId="30" xfId="2620" applyBorder="1" applyAlignment="1">
      <alignment horizontal="center" vertical="center" wrapText="1"/>
    </xf>
    <xf numFmtId="17" fontId="19" fillId="0" borderId="4" xfId="2620" applyNumberFormat="1" applyBorder="1" applyAlignment="1">
      <alignment horizontal="left" vertical="center" wrapText="1" indent="1"/>
    </xf>
    <xf numFmtId="0" fontId="19" fillId="0" borderId="0" xfId="2620" applyAlignment="1">
      <alignment horizontal="justify" vertical="center" wrapText="1"/>
    </xf>
    <xf numFmtId="0" fontId="19" fillId="0" borderId="0" xfId="2620" applyAlignment="1">
      <alignment horizontal="left" vertical="center" wrapText="1"/>
    </xf>
    <xf numFmtId="0" fontId="19" fillId="0" borderId="47" xfId="2620" applyBorder="1" applyAlignment="1">
      <alignment horizontal="center" vertical="center" wrapText="1"/>
    </xf>
    <xf numFmtId="0" fontId="19" fillId="0" borderId="26" xfId="2620" applyBorder="1" applyAlignment="1">
      <alignment horizontal="center" vertical="center" wrapText="1"/>
    </xf>
    <xf numFmtId="17" fontId="19" fillId="0" borderId="26" xfId="2620" applyNumberFormat="1" applyBorder="1" applyAlignment="1">
      <alignment horizontal="center" vertical="center" wrapText="1"/>
    </xf>
    <xf numFmtId="17" fontId="19" fillId="0" borderId="4" xfId="2620" applyNumberFormat="1" applyBorder="1" applyAlignment="1">
      <alignment horizontal="center" vertical="center" wrapText="1"/>
    </xf>
    <xf numFmtId="0" fontId="19" fillId="0" borderId="34" xfId="2620" applyBorder="1" applyAlignment="1">
      <alignment horizontal="left" vertical="center" indent="7"/>
    </xf>
    <xf numFmtId="0" fontId="19" fillId="0" borderId="28" xfId="2620" applyBorder="1" applyAlignment="1">
      <alignment horizontal="left" vertical="center" indent="7"/>
    </xf>
    <xf numFmtId="0" fontId="19" fillId="0" borderId="29" xfId="2620" applyBorder="1" applyAlignment="1">
      <alignment horizontal="left" vertical="center" indent="7"/>
    </xf>
    <xf numFmtId="0" fontId="19" fillId="0" borderId="35" xfId="2620" applyBorder="1" applyAlignment="1">
      <alignment horizontal="center" vertical="center"/>
    </xf>
    <xf numFmtId="0" fontId="19" fillId="0" borderId="0" xfId="2620" applyAlignment="1">
      <alignment horizontal="center" vertical="center" wrapText="1"/>
    </xf>
    <xf numFmtId="0" fontId="19" fillId="0" borderId="22" xfId="2620" applyBorder="1" applyAlignment="1">
      <alignment horizontal="center"/>
    </xf>
    <xf numFmtId="0" fontId="19" fillId="0" borderId="47" xfId="2620" applyBorder="1" applyAlignment="1">
      <alignment horizontal="center"/>
    </xf>
    <xf numFmtId="0" fontId="19" fillId="0" borderId="4" xfId="2620" applyBorder="1" applyAlignment="1">
      <alignment horizontal="left" vertical="center" indent="1"/>
    </xf>
    <xf numFmtId="0" fontId="19" fillId="0" borderId="74" xfId="2620" applyBorder="1" applyAlignment="1">
      <alignment horizontal="center" vertical="center" wrapText="1"/>
    </xf>
    <xf numFmtId="0" fontId="19" fillId="0" borderId="0" xfId="2620" applyAlignment="1">
      <alignment horizontal="center" wrapText="1"/>
    </xf>
    <xf numFmtId="0" fontId="9" fillId="0" borderId="4" xfId="2620" applyFont="1" applyBorder="1" applyAlignment="1">
      <alignment horizontal="left" vertical="center" wrapText="1" indent="1"/>
    </xf>
    <xf numFmtId="0" fontId="19" fillId="0" borderId="25" xfId="2620" applyBorder="1" applyAlignment="1">
      <alignment horizontal="center" vertical="center"/>
    </xf>
    <xf numFmtId="0" fontId="19" fillId="0" borderId="27" xfId="2620" applyBorder="1" applyAlignment="1">
      <alignment horizontal="center" vertical="center" wrapText="1"/>
    </xf>
    <xf numFmtId="0" fontId="19" fillId="0" borderId="53" xfId="2620" applyBorder="1" applyAlignment="1">
      <alignment horizontal="center" vertical="center" wrapText="1"/>
    </xf>
    <xf numFmtId="0" fontId="19" fillId="0" borderId="0" xfId="2620" applyFont="1" applyAlignment="1">
      <alignment horizontal="justify" vertical="center" wrapText="1"/>
    </xf>
    <xf numFmtId="0" fontId="20" fillId="0" borderId="0" xfId="2620" applyFont="1" applyBorder="1" applyAlignment="1">
      <alignment wrapText="1"/>
    </xf>
    <xf numFmtId="0" fontId="21" fillId="0" borderId="0" xfId="2620" applyFont="1" applyBorder="1" applyAlignment="1">
      <alignment wrapText="1"/>
    </xf>
    <xf numFmtId="0" fontId="19" fillId="0" borderId="50" xfId="2620" applyBorder="1" applyAlignment="1">
      <alignment horizontal="center" vertical="center"/>
    </xf>
    <xf numFmtId="0" fontId="19" fillId="0" borderId="47" xfId="2620" applyBorder="1" applyAlignment="1">
      <alignment horizontal="center" vertical="center"/>
    </xf>
    <xf numFmtId="0" fontId="19" fillId="0" borderId="22" xfId="2620" applyBorder="1" applyAlignment="1">
      <alignment horizontal="center" vertical="center"/>
    </xf>
    <xf numFmtId="0" fontId="19" fillId="0" borderId="79" xfId="2620" applyBorder="1" applyAlignment="1">
      <alignment horizontal="center" vertical="center"/>
    </xf>
    <xf numFmtId="0" fontId="19" fillId="0" borderId="75" xfId="2620" applyBorder="1" applyAlignment="1">
      <alignment horizontal="center" vertical="center" wrapText="1"/>
    </xf>
    <xf numFmtId="0" fontId="19" fillId="0" borderId="76" xfId="2620" applyBorder="1" applyAlignment="1">
      <alignment horizontal="center" vertical="center" wrapText="1"/>
    </xf>
    <xf numFmtId="0" fontId="19" fillId="0" borderId="71" xfId="2620" applyBorder="1" applyAlignment="1">
      <alignment horizontal="center" vertical="center" wrapText="1"/>
    </xf>
    <xf numFmtId="0" fontId="19" fillId="0" borderId="23" xfId="2620" applyBorder="1" applyAlignment="1">
      <alignment horizontal="center" vertical="center" wrapText="1"/>
    </xf>
    <xf numFmtId="0" fontId="19" fillId="0" borderId="77" xfId="2620" applyBorder="1" applyAlignment="1">
      <alignment horizontal="center" vertical="center" wrapText="1"/>
    </xf>
    <xf numFmtId="0" fontId="19" fillId="0" borderId="78" xfId="2620" applyBorder="1" applyAlignment="1">
      <alignment horizontal="center" vertical="center" wrapText="1"/>
    </xf>
    <xf numFmtId="0" fontId="19" fillId="0" borderId="22" xfId="2620" applyBorder="1" applyAlignment="1">
      <alignment horizontal="center" vertical="center" wrapText="1"/>
    </xf>
    <xf numFmtId="0" fontId="10" fillId="3" borderId="49" xfId="2617" applyNumberFormat="1" applyFont="1" applyFill="1" applyBorder="1" applyAlignment="1" applyProtection="1">
      <alignment horizontal="center" vertical="center" wrapText="1"/>
      <protection locked="0"/>
    </xf>
    <xf numFmtId="0" fontId="10" fillId="3" borderId="103" xfId="2617" applyNumberFormat="1" applyFont="1" applyFill="1" applyBorder="1" applyAlignment="1" applyProtection="1">
      <alignment horizontal="center" vertical="center" wrapText="1"/>
      <protection locked="0"/>
    </xf>
    <xf numFmtId="0" fontId="10" fillId="3" borderId="109" xfId="2617" applyNumberFormat="1" applyFont="1" applyFill="1" applyBorder="1" applyAlignment="1" applyProtection="1">
      <alignment horizontal="center" vertical="center" wrapText="1"/>
      <protection locked="0"/>
    </xf>
    <xf numFmtId="0" fontId="10" fillId="3" borderId="30" xfId="2617" applyNumberFormat="1" applyFont="1" applyFill="1" applyBorder="1" applyAlignment="1" applyProtection="1">
      <alignment horizontal="center" vertical="center" wrapText="1"/>
      <protection locked="0"/>
    </xf>
    <xf numFmtId="0" fontId="10" fillId="3" borderId="31" xfId="2617" applyNumberFormat="1" applyFont="1" applyFill="1" applyBorder="1" applyAlignment="1" applyProtection="1">
      <alignment horizontal="center" vertical="center" wrapText="1"/>
      <protection locked="0"/>
    </xf>
    <xf numFmtId="0" fontId="10" fillId="0" borderId="48" xfId="719" applyFont="1" applyBorder="1" applyAlignment="1">
      <alignment horizontal="left" vertical="top" wrapText="1"/>
    </xf>
    <xf numFmtId="0" fontId="10" fillId="0" borderId="46" xfId="719" applyFont="1" applyBorder="1" applyAlignment="1">
      <alignment horizontal="left" vertical="top" wrapText="1"/>
    </xf>
    <xf numFmtId="0" fontId="48" fillId="72" borderId="4" xfId="604" applyFont="1" applyFill="1" applyBorder="1" applyAlignment="1" applyProtection="1">
      <alignment horizontal="center"/>
      <protection locked="0"/>
    </xf>
    <xf numFmtId="0" fontId="18" fillId="72" borderId="4" xfId="604" applyFont="1" applyFill="1" applyBorder="1" applyAlignment="1" applyProtection="1">
      <alignment horizontal="center" wrapText="1"/>
      <protection locked="0"/>
    </xf>
    <xf numFmtId="0" fontId="9" fillId="0" borderId="22" xfId="2617" applyNumberFormat="1" applyFont="1" applyFill="1" applyBorder="1" applyAlignment="1" applyProtection="1">
      <alignment horizontal="center" vertical="top"/>
    </xf>
    <xf numFmtId="0" fontId="9" fillId="0" borderId="79" xfId="2617" applyNumberFormat="1" applyFont="1" applyFill="1" applyBorder="1" applyAlignment="1" applyProtection="1">
      <alignment horizontal="center" vertical="top"/>
    </xf>
    <xf numFmtId="0" fontId="9" fillId="0" borderId="80" xfId="2617" applyNumberFormat="1" applyFont="1" applyFill="1" applyBorder="1" applyAlignment="1" applyProtection="1">
      <alignment horizontal="center" vertical="center" wrapText="1"/>
    </xf>
    <xf numFmtId="0" fontId="9" fillId="0" borderId="81" xfId="2617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protection locked="0"/>
    </xf>
    <xf numFmtId="0" fontId="0" fillId="0" borderId="23" xfId="0" applyBorder="1" applyAlignment="1"/>
    <xf numFmtId="49" fontId="10" fillId="0" borderId="0" xfId="2621" applyNumberFormat="1" applyFont="1" applyBorder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15" fillId="72" borderId="107" xfId="719" applyFont="1" applyFill="1" applyBorder="1" applyAlignment="1">
      <alignment horizontal="center" vertical="center"/>
    </xf>
    <xf numFmtId="0" fontId="15" fillId="72" borderId="62" xfId="719" applyFont="1" applyFill="1" applyBorder="1" applyAlignment="1">
      <alignment horizontal="center" vertical="center"/>
    </xf>
    <xf numFmtId="0" fontId="15" fillId="0" borderId="19" xfId="719" applyFont="1" applyBorder="1" applyAlignment="1">
      <alignment horizontal="center" vertical="top" wrapText="1"/>
    </xf>
    <xf numFmtId="0" fontId="41" fillId="0" borderId="107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1" fillId="0" borderId="62" xfId="0" applyFont="1" applyBorder="1" applyAlignment="1">
      <alignment horizontal="center" vertical="center"/>
    </xf>
    <xf numFmtId="0" fontId="41" fillId="0" borderId="0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72" borderId="100" xfId="719" applyFont="1" applyFill="1" applyBorder="1" applyAlignment="1">
      <alignment horizontal="center" vertical="center"/>
    </xf>
    <xf numFmtId="0" fontId="15" fillId="72" borderId="60" xfId="719" applyFont="1" applyFill="1" applyBorder="1" applyAlignment="1">
      <alignment horizontal="center" vertical="center"/>
    </xf>
    <xf numFmtId="0" fontId="41" fillId="0" borderId="99" xfId="719" applyFont="1" applyBorder="1" applyAlignment="1">
      <alignment horizontal="center" vertical="center" wrapText="1"/>
    </xf>
    <xf numFmtId="0" fontId="41" fillId="0" borderId="114" xfId="719" applyFont="1" applyBorder="1" applyAlignment="1">
      <alignment horizontal="center" vertical="center" wrapText="1"/>
    </xf>
    <xf numFmtId="0" fontId="41" fillId="0" borderId="63" xfId="719" applyFont="1" applyBorder="1" applyAlignment="1">
      <alignment horizontal="center" vertical="center" wrapText="1"/>
    </xf>
    <xf numFmtId="0" fontId="41" fillId="0" borderId="100" xfId="719" applyFont="1" applyBorder="1" applyAlignment="1">
      <alignment horizontal="center" vertical="center" wrapText="1"/>
    </xf>
    <xf numFmtId="0" fontId="41" fillId="0" borderId="108" xfId="719" applyFont="1" applyBorder="1" applyAlignment="1">
      <alignment horizontal="center" vertical="center" wrapText="1"/>
    </xf>
    <xf numFmtId="0" fontId="41" fillId="0" borderId="60" xfId="719" applyFont="1" applyBorder="1" applyAlignment="1">
      <alignment horizontal="center" vertical="center" wrapText="1"/>
    </xf>
    <xf numFmtId="0" fontId="15" fillId="0" borderId="48" xfId="719" applyFont="1" applyBorder="1" applyAlignment="1">
      <alignment horizontal="center" vertical="top" wrapText="1"/>
    </xf>
    <xf numFmtId="0" fontId="15" fillId="0" borderId="46" xfId="719" applyFont="1" applyBorder="1" applyAlignment="1">
      <alignment horizontal="center" vertical="top" wrapText="1"/>
    </xf>
    <xf numFmtId="0" fontId="15" fillId="0" borderId="48" xfId="719" applyFont="1" applyBorder="1" applyAlignment="1">
      <alignment horizontal="center" vertical="center" wrapText="1"/>
    </xf>
    <xf numFmtId="0" fontId="15" fillId="0" borderId="46" xfId="719" applyFont="1" applyBorder="1" applyAlignment="1">
      <alignment horizontal="center" vertical="center" wrapText="1"/>
    </xf>
    <xf numFmtId="0" fontId="15" fillId="0" borderId="107" xfId="719" applyFont="1" applyBorder="1" applyAlignment="1">
      <alignment horizontal="center" vertical="top" wrapText="1"/>
    </xf>
    <xf numFmtId="0" fontId="15" fillId="0" borderId="62" xfId="719" applyFont="1" applyBorder="1" applyAlignment="1">
      <alignment horizontal="center" vertical="top" wrapText="1"/>
    </xf>
    <xf numFmtId="49" fontId="15" fillId="0" borderId="64" xfId="0" applyNumberFormat="1" applyFont="1" applyBorder="1" applyAlignment="1">
      <alignment horizontal="center" vertical="center"/>
    </xf>
    <xf numFmtId="49" fontId="15" fillId="0" borderId="65" xfId="0" applyNumberFormat="1" applyFont="1" applyBorder="1" applyAlignment="1">
      <alignment horizontal="center" vertical="center"/>
    </xf>
    <xf numFmtId="49" fontId="15" fillId="0" borderId="69" xfId="0" applyNumberFormat="1" applyFont="1" applyBorder="1" applyAlignment="1">
      <alignment horizontal="center" vertical="center"/>
    </xf>
    <xf numFmtId="0" fontId="15" fillId="0" borderId="25" xfId="719" applyFont="1" applyBorder="1" applyAlignment="1">
      <alignment horizontal="center" vertical="center"/>
    </xf>
    <xf numFmtId="0" fontId="15" fillId="0" borderId="31" xfId="719" applyFont="1" applyBorder="1" applyAlignment="1">
      <alignment horizontal="center" vertical="center"/>
    </xf>
    <xf numFmtId="0" fontId="15" fillId="0" borderId="39" xfId="719" applyFont="1" applyBorder="1" applyAlignment="1">
      <alignment horizontal="center" vertical="center"/>
    </xf>
    <xf numFmtId="0" fontId="15" fillId="0" borderId="41" xfId="719" applyFont="1" applyBorder="1" applyAlignment="1">
      <alignment horizontal="center" vertical="center"/>
    </xf>
    <xf numFmtId="0" fontId="41" fillId="0" borderId="107" xfId="0" applyFont="1" applyBorder="1" applyAlignment="1">
      <alignment horizontal="center" vertical="center" wrapText="1"/>
    </xf>
    <xf numFmtId="0" fontId="41" fillId="0" borderId="106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15" fillId="0" borderId="64" xfId="719" applyFont="1" applyBorder="1" applyAlignment="1">
      <alignment horizontal="center" vertical="center"/>
    </xf>
    <xf numFmtId="0" fontId="15" fillId="0" borderId="65" xfId="719" applyFont="1" applyBorder="1" applyAlignment="1">
      <alignment horizontal="center" vertical="center"/>
    </xf>
    <xf numFmtId="0" fontId="15" fillId="0" borderId="69" xfId="719" applyFont="1" applyBorder="1" applyAlignment="1">
      <alignment horizontal="center" vertical="center"/>
    </xf>
    <xf numFmtId="0" fontId="15" fillId="0" borderId="107" xfId="719" applyFont="1" applyBorder="1" applyAlignment="1">
      <alignment horizontal="center" vertical="center" wrapText="1"/>
    </xf>
    <xf numFmtId="0" fontId="15" fillId="0" borderId="106" xfId="719" applyFont="1" applyBorder="1" applyAlignment="1">
      <alignment horizontal="center" vertical="center" wrapText="1"/>
    </xf>
    <xf numFmtId="0" fontId="15" fillId="0" borderId="62" xfId="719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wrapText="1"/>
    </xf>
    <xf numFmtId="0" fontId="15" fillId="0" borderId="102" xfId="0" applyFont="1" applyFill="1" applyBorder="1" applyAlignment="1">
      <alignment horizontal="left" vertical="center"/>
    </xf>
    <xf numFmtId="0" fontId="15" fillId="0" borderId="109" xfId="0" applyFont="1" applyFill="1" applyBorder="1" applyAlignment="1">
      <alignment horizontal="left" vertical="center"/>
    </xf>
    <xf numFmtId="0" fontId="15" fillId="0" borderId="34" xfId="2616" applyFont="1" applyBorder="1" applyAlignment="1" applyProtection="1">
      <alignment horizontal="left" vertical="center" wrapText="1"/>
    </xf>
    <xf numFmtId="0" fontId="15" fillId="0" borderId="104" xfId="2616" applyFont="1" applyBorder="1" applyAlignment="1" applyProtection="1">
      <alignment horizontal="left" vertical="center" wrapText="1"/>
    </xf>
    <xf numFmtId="0" fontId="15" fillId="0" borderId="34" xfId="0" applyFont="1" applyFill="1" applyBorder="1" applyAlignment="1">
      <alignment horizontal="left" vertical="center"/>
    </xf>
    <xf numFmtId="0" fontId="15" fillId="0" borderId="104" xfId="0" applyFont="1" applyFill="1" applyBorder="1" applyAlignment="1">
      <alignment horizontal="left" vertical="center"/>
    </xf>
    <xf numFmtId="0" fontId="15" fillId="0" borderId="36" xfId="2616" applyFont="1" applyBorder="1" applyAlignment="1" applyProtection="1">
      <alignment horizontal="left" vertical="center" wrapText="1"/>
    </xf>
    <xf numFmtId="0" fontId="15" fillId="0" borderId="52" xfId="2616" applyFont="1" applyBorder="1" applyAlignment="1" applyProtection="1">
      <alignment horizontal="left" vertical="center" wrapText="1"/>
    </xf>
    <xf numFmtId="0" fontId="15" fillId="0" borderId="102" xfId="719" applyFont="1" applyBorder="1" applyAlignment="1">
      <alignment horizontal="center" vertical="top" wrapText="1"/>
    </xf>
    <xf numFmtId="0" fontId="15" fillId="0" borderId="103" xfId="719" applyFont="1" applyBorder="1" applyAlignment="1">
      <alignment horizontal="center" vertical="top" wrapText="1"/>
    </xf>
    <xf numFmtId="0" fontId="15" fillId="0" borderId="109" xfId="719" applyFont="1" applyBorder="1" applyAlignment="1">
      <alignment horizontal="center" vertical="top" wrapText="1"/>
    </xf>
    <xf numFmtId="0" fontId="15" fillId="0" borderId="64" xfId="719" applyFont="1" applyBorder="1" applyAlignment="1">
      <alignment horizontal="center" vertical="top" wrapText="1"/>
    </xf>
    <xf numFmtId="169" fontId="41" fillId="72" borderId="34" xfId="719" applyNumberFormat="1" applyFont="1" applyFill="1" applyBorder="1" applyAlignment="1">
      <alignment horizontal="center" vertical="center"/>
    </xf>
    <xf numFmtId="169" fontId="41" fillId="72" borderId="104" xfId="719" applyNumberFormat="1" applyFont="1" applyFill="1" applyBorder="1" applyAlignment="1">
      <alignment horizontal="center" vertical="center"/>
    </xf>
    <xf numFmtId="169" fontId="41" fillId="72" borderId="115" xfId="719" applyNumberFormat="1" applyFont="1" applyFill="1" applyBorder="1" applyAlignment="1">
      <alignment horizontal="center" vertical="center"/>
    </xf>
    <xf numFmtId="169" fontId="41" fillId="72" borderId="65" xfId="719" applyNumberFormat="1" applyFont="1" applyFill="1" applyBorder="1" applyAlignment="1">
      <alignment horizontal="center" vertical="center"/>
    </xf>
    <xf numFmtId="0" fontId="60" fillId="72" borderId="34" xfId="719" applyNumberFormat="1" applyFont="1" applyFill="1" applyBorder="1" applyAlignment="1">
      <alignment horizontal="left" vertical="center" wrapText="1"/>
    </xf>
    <xf numFmtId="0" fontId="60" fillId="72" borderId="28" xfId="719" applyNumberFormat="1" applyFont="1" applyFill="1" applyBorder="1" applyAlignment="1">
      <alignment horizontal="left" vertical="center" wrapText="1"/>
    </xf>
    <xf numFmtId="0" fontId="60" fillId="72" borderId="104" xfId="719" applyNumberFormat="1" applyFont="1" applyFill="1" applyBorder="1" applyAlignment="1">
      <alignment horizontal="left" vertical="center" wrapText="1"/>
    </xf>
    <xf numFmtId="169" fontId="41" fillId="72" borderId="69" xfId="719" applyNumberFormat="1" applyFont="1" applyFill="1" applyBorder="1" applyAlignment="1">
      <alignment horizontal="center" vertical="center"/>
    </xf>
    <xf numFmtId="0" fontId="11" fillId="0" borderId="4" xfId="0" applyFont="1" applyBorder="1" applyAlignment="1" applyProtection="1">
      <alignment horizontal="center" vertical="center" wrapText="1" shrinkToFit="1"/>
    </xf>
    <xf numFmtId="0" fontId="11" fillId="52" borderId="4" xfId="0" applyFont="1" applyFill="1" applyBorder="1" applyAlignment="1" applyProtection="1">
      <alignment horizontal="center" vertical="center" wrapText="1" shrinkToFit="1"/>
    </xf>
    <xf numFmtId="0" fontId="10" fillId="0" borderId="2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70" xfId="0" applyNumberFormat="1" applyFont="1" applyFill="1" applyBorder="1" applyAlignment="1" applyProtection="1">
      <alignment horizontal="center" vertical="center"/>
    </xf>
    <xf numFmtId="0" fontId="13" fillId="0" borderId="68" xfId="0" applyNumberFormat="1" applyFont="1" applyFill="1" applyBorder="1" applyAlignment="1" applyProtection="1">
      <alignment horizontal="center" vertical="center"/>
    </xf>
    <xf numFmtId="0" fontId="13" fillId="0" borderId="23" xfId="0" applyNumberFormat="1" applyFont="1" applyFill="1" applyBorder="1" applyAlignment="1" applyProtection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  <xf numFmtId="0" fontId="13" fillId="0" borderId="4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 wrapText="1"/>
    </xf>
    <xf numFmtId="49" fontId="13" fillId="0" borderId="71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/>
    </xf>
    <xf numFmtId="49" fontId="13" fillId="0" borderId="23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10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82" xfId="0" applyNumberFormat="1" applyFont="1" applyFill="1" applyBorder="1" applyAlignment="1" applyProtection="1">
      <alignment horizontal="center" vertical="center"/>
    </xf>
    <xf numFmtId="0" fontId="12" fillId="0" borderId="57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49" fontId="13" fillId="0" borderId="57" xfId="0" applyNumberFormat="1" applyFont="1" applyFill="1" applyBorder="1" applyAlignment="1" applyProtection="1">
      <alignment horizontal="center" vertical="center"/>
    </xf>
    <xf numFmtId="49" fontId="13" fillId="0" borderId="28" xfId="0" applyNumberFormat="1" applyFont="1" applyFill="1" applyBorder="1" applyAlignment="1" applyProtection="1">
      <alignment horizontal="center" vertical="center"/>
    </xf>
    <xf numFmtId="49" fontId="13" fillId="0" borderId="82" xfId="0" applyNumberFormat="1" applyFont="1" applyFill="1" applyBorder="1" applyAlignment="1" applyProtection="1">
      <alignment horizontal="center" vertical="center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0" fontId="11" fillId="0" borderId="0" xfId="2778" applyFont="1" applyAlignment="1">
      <alignment horizontal="center" vertical="center"/>
    </xf>
    <xf numFmtId="0" fontId="13" fillId="0" borderId="70" xfId="2778" applyNumberFormat="1" applyFont="1" applyFill="1" applyBorder="1" applyAlignment="1" applyProtection="1">
      <alignment horizontal="center" vertical="center"/>
    </xf>
    <xf numFmtId="0" fontId="13" fillId="0" borderId="68" xfId="2778" applyNumberFormat="1" applyFont="1" applyFill="1" applyBorder="1" applyAlignment="1" applyProtection="1">
      <alignment horizontal="center" vertical="center"/>
    </xf>
    <xf numFmtId="0" fontId="13" fillId="0" borderId="23" xfId="2778" applyNumberFormat="1" applyFont="1" applyFill="1" applyBorder="1" applyAlignment="1" applyProtection="1">
      <alignment horizontal="center" vertical="center"/>
    </xf>
    <xf numFmtId="0" fontId="6" fillId="0" borderId="0" xfId="2778" applyAlignment="1">
      <alignment horizontal="center"/>
    </xf>
    <xf numFmtId="0" fontId="12" fillId="0" borderId="27" xfId="2778" applyFont="1" applyBorder="1" applyAlignment="1">
      <alignment horizontal="center" vertical="center" wrapText="1"/>
    </xf>
    <xf numFmtId="0" fontId="12" fillId="0" borderId="53" xfId="2778" applyFont="1" applyBorder="1" applyAlignment="1">
      <alignment horizontal="center" vertical="center" wrapText="1"/>
    </xf>
    <xf numFmtId="0" fontId="12" fillId="0" borderId="26" xfId="2778" applyFont="1" applyBorder="1" applyAlignment="1">
      <alignment horizontal="center" vertical="center" wrapText="1"/>
    </xf>
    <xf numFmtId="0" fontId="12" fillId="0" borderId="4" xfId="2778" applyFont="1" applyBorder="1" applyAlignment="1">
      <alignment horizontal="left" vertical="center" wrapText="1"/>
    </xf>
    <xf numFmtId="0" fontId="12" fillId="0" borderId="57" xfId="2778" applyFont="1" applyBorder="1" applyAlignment="1">
      <alignment horizontal="left" vertical="center" wrapText="1"/>
    </xf>
    <xf numFmtId="0" fontId="12" fillId="0" borderId="0" xfId="2778" applyFont="1" applyBorder="1" applyAlignment="1">
      <alignment horizontal="left" vertical="center" wrapText="1"/>
    </xf>
    <xf numFmtId="0" fontId="6" fillId="0" borderId="0" xfId="2778"/>
    <xf numFmtId="0" fontId="13" fillId="0" borderId="82" xfId="2778" applyNumberFormat="1" applyFont="1" applyFill="1" applyBorder="1" applyAlignment="1" applyProtection="1">
      <alignment horizontal="center" vertical="center"/>
    </xf>
    <xf numFmtId="0" fontId="15" fillId="0" borderId="27" xfId="2778" applyFont="1" applyBorder="1" applyAlignment="1">
      <alignment horizontal="center" vertical="center" wrapText="1"/>
    </xf>
    <xf numFmtId="0" fontId="15" fillId="0" borderId="53" xfId="2778" applyFont="1" applyBorder="1" applyAlignment="1">
      <alignment horizontal="center" vertical="center" wrapText="1"/>
    </xf>
    <xf numFmtId="0" fontId="15" fillId="0" borderId="26" xfId="2778" applyFont="1" applyBorder="1" applyAlignment="1">
      <alignment horizontal="center" vertical="center" wrapText="1"/>
    </xf>
    <xf numFmtId="0" fontId="15" fillId="0" borderId="4" xfId="2778" applyFont="1" applyBorder="1" applyAlignment="1">
      <alignment horizontal="left" vertical="center" wrapText="1"/>
    </xf>
    <xf numFmtId="0" fontId="15" fillId="0" borderId="57" xfId="2778" applyFont="1" applyBorder="1" applyAlignment="1">
      <alignment horizontal="left" vertical="center" wrapText="1"/>
    </xf>
    <xf numFmtId="0" fontId="6" fillId="0" borderId="0" xfId="2778" applyAlignment="1">
      <alignment horizontal="left"/>
    </xf>
    <xf numFmtId="0" fontId="177" fillId="0" borderId="0" xfId="2778" applyFont="1" applyAlignment="1">
      <alignment horizontal="center" vertical="top"/>
    </xf>
    <xf numFmtId="0" fontId="15" fillId="0" borderId="70" xfId="2778" applyFont="1" applyBorder="1" applyAlignment="1">
      <alignment horizontal="center" vertical="center" wrapText="1"/>
    </xf>
    <xf numFmtId="0" fontId="15" fillId="0" borderId="26" xfId="2778" applyFont="1" applyBorder="1" applyAlignment="1">
      <alignment horizontal="left" vertical="center" wrapText="1"/>
    </xf>
    <xf numFmtId="0" fontId="15" fillId="0" borderId="0" xfId="2778" applyFont="1" applyBorder="1" applyAlignment="1">
      <alignment horizontal="left" vertical="center" wrapText="1"/>
    </xf>
    <xf numFmtId="0" fontId="177" fillId="0" borderId="0" xfId="2778" applyFont="1"/>
    <xf numFmtId="0" fontId="41" fillId="0" borderId="82" xfId="2778" applyNumberFormat="1" applyFont="1" applyFill="1" applyBorder="1" applyAlignment="1" applyProtection="1">
      <alignment horizontal="center" vertical="center"/>
    </xf>
    <xf numFmtId="0" fontId="6" fillId="0" borderId="0" xfId="2778" applyBorder="1"/>
    <xf numFmtId="49" fontId="12" fillId="0" borderId="0" xfId="2778" applyNumberFormat="1" applyFont="1" applyBorder="1" applyAlignment="1">
      <alignment horizontal="center" vertical="center" wrapText="1"/>
    </xf>
    <xf numFmtId="0" fontId="12" fillId="0" borderId="0" xfId="2778" applyFont="1" applyBorder="1" applyAlignment="1">
      <alignment horizontal="center" vertical="center" wrapText="1"/>
    </xf>
    <xf numFmtId="0" fontId="12" fillId="0" borderId="0" xfId="2778" applyFont="1" applyAlignment="1">
      <alignment horizontal="left" vertical="center" wrapText="1"/>
    </xf>
    <xf numFmtId="0" fontId="13" fillId="0" borderId="0" xfId="2778" applyFont="1" applyBorder="1" applyAlignment="1">
      <alignment horizontal="center" vertical="center" wrapText="1"/>
    </xf>
    <xf numFmtId="0" fontId="13" fillId="0" borderId="0" xfId="2778" applyFont="1" applyBorder="1" applyAlignment="1">
      <alignment horizontal="right" vertical="center" wrapText="1"/>
    </xf>
    <xf numFmtId="0" fontId="12" fillId="0" borderId="0" xfId="2778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wrapText="1"/>
    </xf>
    <xf numFmtId="0" fontId="35" fillId="0" borderId="0" xfId="0" applyFont="1" applyBorder="1" applyAlignment="1" applyProtection="1">
      <alignment horizont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 hidden="1"/>
    </xf>
    <xf numFmtId="0" fontId="41" fillId="52" borderId="4" xfId="0" applyFont="1" applyFill="1" applyBorder="1" applyAlignment="1" applyProtection="1">
      <alignment horizontal="center" vertical="center" wrapText="1"/>
      <protection locked="0" hidden="1"/>
    </xf>
    <xf numFmtId="0" fontId="41" fillId="0" borderId="4" xfId="0" applyFont="1" applyBorder="1" applyAlignment="1" applyProtection="1">
      <alignment horizontal="center" vertical="center" wrapText="1"/>
      <protection locked="0" hidden="1"/>
    </xf>
    <xf numFmtId="0" fontId="41" fillId="0" borderId="4" xfId="0" applyFont="1" applyBorder="1" applyAlignment="1" applyProtection="1">
      <alignment horizontal="center" vertical="center" wrapText="1"/>
      <protection locked="0"/>
    </xf>
    <xf numFmtId="0" fontId="49" fillId="0" borderId="4" xfId="2776" applyBorder="1" applyAlignment="1">
      <alignment horizontal="center" vertical="center" wrapText="1"/>
    </xf>
    <xf numFmtId="0" fontId="49" fillId="0" borderId="4" xfId="2776" applyBorder="1" applyAlignment="1">
      <alignment horizontal="center" wrapText="1"/>
    </xf>
    <xf numFmtId="0" fontId="49" fillId="0" borderId="4" xfId="2776" applyBorder="1" applyAlignment="1">
      <alignment horizontal="center"/>
    </xf>
    <xf numFmtId="1" fontId="49" fillId="0" borderId="4" xfId="2776" applyNumberFormat="1" applyBorder="1" applyAlignment="1">
      <alignment horizontal="center"/>
    </xf>
    <xf numFmtId="0" fontId="49" fillId="0" borderId="57" xfId="2776" applyBorder="1" applyAlignment="1">
      <alignment horizontal="center"/>
    </xf>
    <xf numFmtId="0" fontId="49" fillId="0" borderId="28" xfId="2776" applyBorder="1" applyAlignment="1">
      <alignment horizontal="center"/>
    </xf>
    <xf numFmtId="0" fontId="49" fillId="0" borderId="29" xfId="2776" applyBorder="1" applyAlignment="1">
      <alignment horizontal="center"/>
    </xf>
    <xf numFmtId="2" fontId="49" fillId="0" borderId="4" xfId="2776" applyNumberFormat="1" applyBorder="1" applyAlignment="1">
      <alignment horizontal="center"/>
    </xf>
    <xf numFmtId="0" fontId="175" fillId="0" borderId="4" xfId="2776" applyFont="1" applyBorder="1" applyAlignment="1">
      <alignment horizontal="center"/>
    </xf>
    <xf numFmtId="1" fontId="175" fillId="0" borderId="4" xfId="2776" applyNumberFormat="1" applyFont="1" applyBorder="1" applyAlignment="1">
      <alignment horizontal="center"/>
    </xf>
    <xf numFmtId="170" fontId="18" fillId="72" borderId="4" xfId="604" applyNumberFormat="1" applyFont="1" applyFill="1" applyBorder="1" applyAlignment="1" applyProtection="1">
      <alignment horizontal="center"/>
      <protection locked="0"/>
    </xf>
    <xf numFmtId="0" fontId="18" fillId="72" borderId="4" xfId="604" applyFont="1" applyFill="1" applyBorder="1" applyAlignment="1" applyProtection="1">
      <protection locked="0"/>
    </xf>
    <xf numFmtId="170" fontId="18" fillId="72" borderId="4" xfId="604" applyNumberFormat="1" applyFill="1" applyBorder="1" applyAlignment="1" applyProtection="1">
      <alignment horizontal="center"/>
      <protection locked="0"/>
    </xf>
    <xf numFmtId="0" fontId="18" fillId="72" borderId="4" xfId="604" applyFill="1" applyBorder="1" applyAlignment="1" applyProtection="1">
      <protection locked="0"/>
    </xf>
    <xf numFmtId="0" fontId="33" fillId="0" borderId="53" xfId="0" applyNumberFormat="1" applyFont="1" applyBorder="1" applyAlignment="1">
      <alignment horizontal="center" vertical="center" wrapText="1"/>
    </xf>
    <xf numFmtId="0" fontId="33" fillId="0" borderId="26" xfId="0" applyNumberFormat="1" applyFont="1" applyBorder="1" applyAlignment="1">
      <alignment horizontal="center" vertical="center" wrapText="1"/>
    </xf>
    <xf numFmtId="0" fontId="33" fillId="0" borderId="4" xfId="0" applyNumberFormat="1" applyFont="1" applyBorder="1" applyAlignment="1">
      <alignment horizontal="center" vertical="center" wrapText="1"/>
    </xf>
    <xf numFmtId="0" fontId="33" fillId="0" borderId="71" xfId="0" applyNumberFormat="1" applyFont="1" applyBorder="1" applyAlignment="1">
      <alignment horizontal="center" vertical="center" wrapText="1"/>
    </xf>
    <xf numFmtId="0" fontId="33" fillId="0" borderId="70" xfId="0" applyNumberFormat="1" applyFont="1" applyBorder="1" applyAlignment="1">
      <alignment horizontal="center" vertical="center" wrapText="1"/>
    </xf>
    <xf numFmtId="170" fontId="48" fillId="72" borderId="4" xfId="604" applyNumberFormat="1" applyFont="1" applyFill="1" applyBorder="1" applyAlignment="1" applyProtection="1">
      <alignment horizontal="center"/>
      <protection locked="0"/>
    </xf>
    <xf numFmtId="0" fontId="48" fillId="72" borderId="4" xfId="604" applyFont="1" applyFill="1" applyBorder="1" applyAlignment="1" applyProtection="1"/>
    <xf numFmtId="0" fontId="11" fillId="52" borderId="57" xfId="0" applyFont="1" applyFill="1" applyBorder="1" applyAlignment="1" applyProtection="1">
      <alignment horizontal="center" vertical="center" wrapText="1" shrinkToFit="1"/>
    </xf>
    <xf numFmtId="0" fontId="11" fillId="52" borderId="29" xfId="0" applyFont="1" applyFill="1" applyBorder="1" applyAlignment="1" applyProtection="1">
      <alignment horizontal="center" vertical="center" wrapText="1" shrinkToFit="1"/>
    </xf>
    <xf numFmtId="0" fontId="35" fillId="0" borderId="0" xfId="0" applyFont="1" applyAlignment="1" applyProtection="1">
      <alignment horizontal="center"/>
      <protection locked="0"/>
    </xf>
    <xf numFmtId="167" fontId="18" fillId="72" borderId="4" xfId="604" applyNumberFormat="1" applyFont="1" applyFill="1" applyBorder="1" applyAlignment="1" applyProtection="1">
      <alignment horizontal="center"/>
      <protection locked="0"/>
    </xf>
    <xf numFmtId="0" fontId="18" fillId="72" borderId="4" xfId="604" applyFont="1" applyFill="1" applyBorder="1" applyAlignment="1" applyProtection="1">
      <alignment horizontal="center"/>
      <protection locked="0"/>
    </xf>
    <xf numFmtId="0" fontId="11" fillId="52" borderId="4" xfId="0" applyFont="1" applyFill="1" applyBorder="1" applyAlignment="1" applyProtection="1">
      <alignment horizontal="center" vertical="center" wrapText="1"/>
      <protection locked="0"/>
    </xf>
    <xf numFmtId="0" fontId="0" fillId="52" borderId="4" xfId="0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center" wrapText="1"/>
      <protection locked="0"/>
    </xf>
    <xf numFmtId="0" fontId="41" fillId="0" borderId="4" xfId="0" applyFont="1" applyFill="1" applyBorder="1" applyAlignment="1" applyProtection="1">
      <alignment horizontal="center" vertical="center" wrapText="1"/>
      <protection locked="0"/>
    </xf>
    <xf numFmtId="0" fontId="11" fillId="52" borderId="57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5" fillId="0" borderId="4" xfId="0" applyFont="1" applyBorder="1" applyAlignment="1" applyProtection="1">
      <alignment horizontal="center" vertical="center" wrapText="1" shrinkToFit="1"/>
    </xf>
    <xf numFmtId="0" fontId="35" fillId="52" borderId="4" xfId="0" applyFont="1" applyFill="1" applyBorder="1" applyAlignment="1" applyProtection="1">
      <alignment horizontal="center" vertical="center" wrapText="1" shrinkToFit="1"/>
    </xf>
    <xf numFmtId="0" fontId="24" fillId="0" borderId="0" xfId="2620" applyFont="1" applyBorder="1" applyAlignment="1">
      <alignment horizontal="center" wrapText="1"/>
    </xf>
    <xf numFmtId="0" fontId="27" fillId="0" borderId="0" xfId="0" applyFont="1" applyFill="1" applyAlignment="1" applyProtection="1">
      <alignment horizont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4" xfId="0" applyFont="1" applyBorder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35" fillId="0" borderId="0" xfId="2619" applyFont="1" applyFill="1" applyBorder="1" applyAlignment="1" applyProtection="1">
      <alignment horizontal="center" vertical="center" wrapText="1"/>
      <protection locked="0"/>
    </xf>
    <xf numFmtId="0" fontId="11" fillId="0" borderId="4" xfId="2619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0" fillId="0" borderId="4" xfId="0" applyBorder="1"/>
    <xf numFmtId="0" fontId="154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2" fillId="52" borderId="0" xfId="0" applyFont="1" applyFill="1" applyAlignment="1">
      <alignment horizontal="center" vertical="center"/>
    </xf>
    <xf numFmtId="0" fontId="10" fillId="72" borderId="4" xfId="0" applyFont="1" applyFill="1" applyBorder="1" applyAlignment="1">
      <alignment horizontal="center" vertical="center"/>
    </xf>
    <xf numFmtId="0" fontId="0" fillId="0" borderId="0" xfId="0"/>
    <xf numFmtId="0" fontId="6" fillId="0" borderId="4" xfId="713" applyBorder="1" applyAlignment="1">
      <alignment horizontal="center" vertical="top" wrapText="1"/>
    </xf>
    <xf numFmtId="0" fontId="6" fillId="0" borderId="4" xfId="713" applyBorder="1"/>
    <xf numFmtId="0" fontId="162" fillId="87" borderId="57" xfId="2780" applyFont="1" applyFill="1" applyBorder="1" applyAlignment="1">
      <alignment horizontal="center" wrapText="1"/>
    </xf>
    <xf numFmtId="0" fontId="194" fillId="87" borderId="28" xfId="2780" applyFill="1" applyBorder="1" applyAlignment="1">
      <alignment horizontal="center" wrapText="1"/>
    </xf>
    <xf numFmtId="0" fontId="194" fillId="0" borderId="29" xfId="2780" applyBorder="1" applyAlignment="1">
      <alignment horizontal="center" wrapText="1"/>
    </xf>
    <xf numFmtId="166" fontId="162" fillId="87" borderId="57" xfId="2780" applyNumberFormat="1" applyFont="1" applyFill="1" applyBorder="1" applyAlignment="1">
      <alignment horizontal="center" wrapText="1"/>
    </xf>
    <xf numFmtId="166" fontId="162" fillId="87" borderId="28" xfId="2780" applyNumberFormat="1" applyFont="1" applyFill="1" applyBorder="1" applyAlignment="1">
      <alignment horizontal="center" wrapText="1"/>
    </xf>
    <xf numFmtId="166" fontId="194" fillId="87" borderId="28" xfId="2780" applyNumberFormat="1" applyFill="1" applyBorder="1" applyAlignment="1">
      <alignment horizontal="center" wrapText="1"/>
    </xf>
    <xf numFmtId="166" fontId="194" fillId="0" borderId="29" xfId="2780" applyNumberFormat="1" applyBorder="1" applyAlignment="1">
      <alignment horizontal="center" wrapText="1"/>
    </xf>
    <xf numFmtId="0" fontId="162" fillId="0" borderId="57" xfId="2780" applyFont="1" applyBorder="1" applyAlignment="1">
      <alignment horizontal="center" wrapText="1"/>
    </xf>
    <xf numFmtId="0" fontId="162" fillId="0" borderId="28" xfId="2780" applyFont="1" applyBorder="1" applyAlignment="1">
      <alignment horizontal="center" wrapText="1"/>
    </xf>
    <xf numFmtId="0" fontId="162" fillId="0" borderId="29" xfId="2780" applyFont="1" applyBorder="1" applyAlignment="1">
      <alignment horizontal="center" wrapText="1"/>
    </xf>
    <xf numFmtId="0" fontId="195" fillId="0" borderId="27" xfId="2780" applyFont="1" applyBorder="1" applyAlignment="1">
      <alignment horizontal="center" vertical="center"/>
    </xf>
    <xf numFmtId="0" fontId="195" fillId="0" borderId="26" xfId="278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</cellXfs>
  <cellStyles count="2781">
    <cellStyle name=" 1" xfId="1"/>
    <cellStyle name="%" xfId="2"/>
    <cellStyle name="%_Inputs" xfId="3"/>
    <cellStyle name="%_Inputs (const)" xfId="4"/>
    <cellStyle name="%_Inputs Co" xfId="5"/>
    <cellStyle name="_!!! отчетные Форматы минэнерго к ИП 2011 (1.11.10)" xfId="6"/>
    <cellStyle name="___RAB__2014" xfId="7"/>
    <cellStyle name="_01-Свод НВВ 2011_постатейно" xfId="8"/>
    <cellStyle name="_2010 ПО, потери" xfId="9"/>
    <cellStyle name="_2011 ПО, потери" xfId="10"/>
    <cellStyle name="_Model_RAB Мой" xfId="11"/>
    <cellStyle name="_Model_RAB Мой_PR.PROG.WARM.NOTCOMBI.2012.2.16_v1.4(04.04.11) " xfId="12"/>
    <cellStyle name="_Model_RAB Мой_Книга2_PR.PROG.WARM.NOTCOMBI.2012.2.16_v1.4(04.04.11) " xfId="13"/>
    <cellStyle name="_Model_RAB_MRSK_svod" xfId="14"/>
    <cellStyle name="_Model_RAB_MRSK_svod_PR.PROG.WARM.NOTCOMBI.2012.2.16_v1.4(04.04.11) " xfId="15"/>
    <cellStyle name="_Model_RAB_MRSK_svod_Книга2_PR.PROG.WARM.NOTCOMBI.2012.2.16_v1.4(04.04.11) " xfId="16"/>
    <cellStyle name="_RAB Астрахань послед. 26.03.10" xfId="17"/>
    <cellStyle name="_Волгоград" xfId="18"/>
    <cellStyle name="_Волгоград Модель_RAB  ( опер.утв.2009, со сглаж.6,2%)" xfId="19"/>
    <cellStyle name="_Волгоград Модель_RAB ( опер.утв.2009) 6,2 БС" xfId="20"/>
    <cellStyle name="_выпадающие доходы от снижения ПО (1)" xfId="21"/>
    <cellStyle name="_выручка по присоединениям2" xfId="22"/>
    <cellStyle name="_Дефицит Выручки-2010" xfId="23"/>
    <cellStyle name="_ЕИАС" xfId="24"/>
    <cellStyle name="_Исходные данные для модели" xfId="25"/>
    <cellStyle name="_калмыкия 2010" xfId="26"/>
    <cellStyle name="_Кап.вложения - табл 6.2.5" xfId="27"/>
    <cellStyle name="_Книга2" xfId="28"/>
    <cellStyle name="_Конечный вариант КАП ВЛОЖ на ПРИС по 4 филиалам (741 829 из 11 000 руб) без 1 и 2 кв и впу 14_06 на общую 2 772 млрд" xfId="29"/>
    <cellStyle name="_Копия RAB_КЭ_с тарифными решениями 2010 (2) (2)" xfId="30"/>
    <cellStyle name="_Копия Модель_RAB_Калмэнерго_рост10 (опер на уровне утв 2009 со сглаж )" xfId="31"/>
    <cellStyle name="_Коррект 2009 формула16" xfId="32"/>
    <cellStyle name="_Корректировка НВВ 2011 АЭ" xfId="33"/>
    <cellStyle name="_Кубань НВВ (2)" xfId="34"/>
    <cellStyle name="_Лист4" xfId="35"/>
    <cellStyle name="_Макет_Итоговый лист по анализу ИПР" xfId="36"/>
    <cellStyle name="_меню по ТП (2)" xfId="37"/>
    <cellStyle name="_МОДЕЛЬ_1 (2)" xfId="38"/>
    <cellStyle name="_МОДЕЛЬ_1 (2)_PR.PROG.WARM.NOTCOMBI.2012.2.16_v1.4(04.04.11) " xfId="39"/>
    <cellStyle name="_МОДЕЛЬ_1 (2)_Книга2_PR.PROG.WARM.NOTCOMBI.2012.2.16_v1.4(04.04.11) " xfId="40"/>
    <cellStyle name="_Модель_RAB (формат 08032009)" xfId="41"/>
    <cellStyle name="_НВВ 2009 постатейно свод по филиалам_09_02_09" xfId="42"/>
    <cellStyle name="_НВВ 2009 постатейно свод по филиалам_для Валентина" xfId="43"/>
    <cellStyle name="_Омск" xfId="44"/>
    <cellStyle name="_П 1.3, 1.4, 1.5." xfId="45"/>
    <cellStyle name="_П1.16.3_2008-2011 (1)" xfId="46"/>
    <cellStyle name="_Передача 2005_отпр в РЭК_сентябрь2005" xfId="47"/>
    <cellStyle name="_Плановая выручка 2010-по  двум  договорам" xfId="48"/>
    <cellStyle name="_пр 5 тариф RAB" xfId="49"/>
    <cellStyle name="_пр 5 тариф RAB_PR.PROG.WARM.NOTCOMBI.2012.2.16_v1.4(04.04.11) " xfId="50"/>
    <cellStyle name="_пр 5 тариф RAB_Книга2_PR.PROG.WARM.NOTCOMBI.2012.2.16_v1.4(04.04.11) " xfId="51"/>
    <cellStyle name="_Предожение _ДБП_2009 г ( согласованные БП)  (2)" xfId="52"/>
    <cellStyle name="_Приведенная НВВ 2011" xfId="53"/>
    <cellStyle name="_Прил 3-3.2 Статьи сметы затрат и расход из приб КЭН" xfId="54"/>
    <cellStyle name="_Приложение 2,3-3.2" xfId="55"/>
    <cellStyle name="_Приложение МТС-3-КС" xfId="56"/>
    <cellStyle name="_Приложение-МТС--2-1" xfId="57"/>
    <cellStyle name="_Приложения 1_4кприказу_филиала_31_03_11" xfId="58"/>
    <cellStyle name="_Расчет RAB_22072008" xfId="59"/>
    <cellStyle name="_Расчет RAB_22072008_PR.PROG.WARM.NOTCOMBI.2012.2.16_v1.4(04.04.11) " xfId="60"/>
    <cellStyle name="_Расчет RAB_22072008_Книга2_PR.PROG.WARM.NOTCOMBI.2012.2.16_v1.4(04.04.11) " xfId="61"/>
    <cellStyle name="_Расчет RAB_Лен и МОЭСК_с 2010 года_14.04.2009_со сглаж_version 3.0_без ФСК" xfId="62"/>
    <cellStyle name="_Расчет RAB_Лен и МОЭСК_с 2010 года_14.04.2009_со сглаж_version 3.0_без ФСК_PR.PROG.WARM.NOTCOMBI.2012.2.16_v1.4(04.04.11) " xfId="63"/>
    <cellStyle name="_Расчет RAB_Лен и МОЭСК_с 2010 года_14.04.2009_со сглаж_version 3.0_без ФСК_Книга2_PR.PROG.WARM.NOTCOMBI.2012.2.16_v1.4(04.04.11) " xfId="64"/>
    <cellStyle name="_Расчет по RAB корректировка НВВ 2011 АЭ" xfId="65"/>
    <cellStyle name="_Расчет под  Заключение-Самара" xfId="66"/>
    <cellStyle name="_Расчет_конечные тарифы_2010г " xfId="67"/>
    <cellStyle name="_расшифровки" xfId="68"/>
    <cellStyle name="_реестр" xfId="69"/>
    <cellStyle name="_Ростов НВВ на 2010-2014" xfId="70"/>
    <cellStyle name="_РЭ_RAB_продление_28_09_10 _новаяИПР" xfId="71"/>
    <cellStyle name="_Свод по ИПР (2)" xfId="72"/>
    <cellStyle name="_Согласования_0810_final" xfId="73"/>
    <cellStyle name="_таблицы для расчетов28-04-08_2006-2009_прибыль корр_по ИА" xfId="74"/>
    <cellStyle name="_таблицы для расчетов28-04-08_2006-2009с ИА" xfId="75"/>
    <cellStyle name="_Форма 6  РТК.xls(отчет по Адр пр. ЛО)" xfId="76"/>
    <cellStyle name="_форма П1.30 для УРТ" xfId="77"/>
    <cellStyle name="_Формат НВВ (для пилотов по RAB) 12 мес_вар 2 без нагрузочных" xfId="78"/>
    <cellStyle name="_Формат разбивки по МРСК_РСК" xfId="79"/>
    <cellStyle name="_Формат расчета неподконтрольных" xfId="80"/>
    <cellStyle name="_Формат_для Согласования" xfId="81"/>
    <cellStyle name="_Формат_Сводный для согласования" xfId="82"/>
    <cellStyle name="’ћѓћ‚›‰" xfId="88"/>
    <cellStyle name="”ќђќ‘ћ‚›‰" xfId="83"/>
    <cellStyle name="”љ‘ђћ‚ђќќ›‰" xfId="84"/>
    <cellStyle name="„…ќ…†ќ›‰" xfId="85"/>
    <cellStyle name="‡ђѓћ‹ћ‚ћљ1" xfId="86"/>
    <cellStyle name="‡ђѓћ‹ћ‚ћљ2" xfId="87"/>
    <cellStyle name="20% - Accent1" xfId="89"/>
    <cellStyle name="20% - Accent2" xfId="90"/>
    <cellStyle name="20% - Accent3" xfId="91"/>
    <cellStyle name="20% - Accent4" xfId="92"/>
    <cellStyle name="20% - Accent5" xfId="93"/>
    <cellStyle name="20% - Accent6" xfId="94"/>
    <cellStyle name="20% - Акцент1 10" xfId="95"/>
    <cellStyle name="20% - Акцент1 11" xfId="96"/>
    <cellStyle name="20% - Акцент1 2" xfId="97"/>
    <cellStyle name="20% - Акцент1 3" xfId="98"/>
    <cellStyle name="20% - Акцент1 4" xfId="99"/>
    <cellStyle name="20% - Акцент1 5" xfId="100"/>
    <cellStyle name="20% - Акцент1 6" xfId="101"/>
    <cellStyle name="20% - Акцент1 7" xfId="102"/>
    <cellStyle name="20% - Акцент1 8" xfId="103"/>
    <cellStyle name="20% - Акцент1 9" xfId="104"/>
    <cellStyle name="20% - Акцент2 10" xfId="105"/>
    <cellStyle name="20% - Акцент2 11" xfId="106"/>
    <cellStyle name="20% - Акцент2 2" xfId="107"/>
    <cellStyle name="20% - Акцент2 3" xfId="108"/>
    <cellStyle name="20% - Акцент2 4" xfId="109"/>
    <cellStyle name="20% - Акцент2 5" xfId="110"/>
    <cellStyle name="20% - Акцент2 6" xfId="111"/>
    <cellStyle name="20% - Акцент2 7" xfId="112"/>
    <cellStyle name="20% - Акцент2 8" xfId="113"/>
    <cellStyle name="20% - Акцент2 9" xfId="114"/>
    <cellStyle name="20% - Акцент3 10" xfId="115"/>
    <cellStyle name="20% - Акцент3 11" xfId="116"/>
    <cellStyle name="20% - Акцент3 2" xfId="117"/>
    <cellStyle name="20% - Акцент3 3" xfId="118"/>
    <cellStyle name="20% - Акцент3 4" xfId="119"/>
    <cellStyle name="20% - Акцент3 5" xfId="120"/>
    <cellStyle name="20% - Акцент3 6" xfId="121"/>
    <cellStyle name="20% - Акцент3 7" xfId="122"/>
    <cellStyle name="20% - Акцент3 8" xfId="123"/>
    <cellStyle name="20% - Акцент3 9" xfId="124"/>
    <cellStyle name="20% - Акцент4 10" xfId="125"/>
    <cellStyle name="20% - Акцент4 11" xfId="126"/>
    <cellStyle name="20% - Акцент4 2" xfId="127"/>
    <cellStyle name="20% - Акцент4 3" xfId="128"/>
    <cellStyle name="20% - Акцент4 4" xfId="129"/>
    <cellStyle name="20% - Акцент4 5" xfId="130"/>
    <cellStyle name="20% - Акцент4 6" xfId="131"/>
    <cellStyle name="20% - Акцент4 7" xfId="132"/>
    <cellStyle name="20% - Акцент4 8" xfId="133"/>
    <cellStyle name="20% - Акцент4 9" xfId="134"/>
    <cellStyle name="20% - Акцент5 10" xfId="135"/>
    <cellStyle name="20% - Акцент5 11" xfId="136"/>
    <cellStyle name="20% - Акцент5 2" xfId="137"/>
    <cellStyle name="20% - Акцент5 3" xfId="138"/>
    <cellStyle name="20% - Акцент5 4" xfId="139"/>
    <cellStyle name="20% - Акцент5 5" xfId="140"/>
    <cellStyle name="20% - Акцент5 6" xfId="141"/>
    <cellStyle name="20% - Акцент5 7" xfId="142"/>
    <cellStyle name="20% - Акцент5 8" xfId="143"/>
    <cellStyle name="20% - Акцент5 9" xfId="144"/>
    <cellStyle name="20% - Акцент6 10" xfId="145"/>
    <cellStyle name="20% - Акцент6 11" xfId="146"/>
    <cellStyle name="20% - Акцент6 2" xfId="147"/>
    <cellStyle name="20% - Акцент6 3" xfId="148"/>
    <cellStyle name="20% - Акцент6 4" xfId="149"/>
    <cellStyle name="20% - Акцент6 5" xfId="150"/>
    <cellStyle name="20% - Акцент6 6" xfId="151"/>
    <cellStyle name="20% - Акцент6 7" xfId="152"/>
    <cellStyle name="20% - Акцент6 8" xfId="153"/>
    <cellStyle name="20% - Акцент6 9" xfId="154"/>
    <cellStyle name="40% - Accent1" xfId="155"/>
    <cellStyle name="40% - Accent2" xfId="156"/>
    <cellStyle name="40% - Accent3" xfId="157"/>
    <cellStyle name="40% - Accent4" xfId="158"/>
    <cellStyle name="40% - Accent5" xfId="159"/>
    <cellStyle name="40% - Accent6" xfId="160"/>
    <cellStyle name="40% - Акцент1 10" xfId="161"/>
    <cellStyle name="40% - Акцент1 11" xfId="162"/>
    <cellStyle name="40% - Акцент1 2" xfId="163"/>
    <cellStyle name="40% - Акцент1 3" xfId="164"/>
    <cellStyle name="40% - Акцент1 4" xfId="165"/>
    <cellStyle name="40% - Акцент1 5" xfId="166"/>
    <cellStyle name="40% - Акцент1 6" xfId="167"/>
    <cellStyle name="40% - Акцент1 7" xfId="168"/>
    <cellStyle name="40% - Акцент1 8" xfId="169"/>
    <cellStyle name="40% - Акцент1 9" xfId="170"/>
    <cellStyle name="40% - Акцент2 10" xfId="171"/>
    <cellStyle name="40% - Акцент2 11" xfId="172"/>
    <cellStyle name="40% - Акцент2 2" xfId="173"/>
    <cellStyle name="40% - Акцент2 3" xfId="174"/>
    <cellStyle name="40% - Акцент2 4" xfId="175"/>
    <cellStyle name="40% - Акцент2 5" xfId="176"/>
    <cellStyle name="40% - Акцент2 6" xfId="177"/>
    <cellStyle name="40% - Акцент2 7" xfId="178"/>
    <cellStyle name="40% - Акцент2 8" xfId="179"/>
    <cellStyle name="40% - Акцент2 9" xfId="180"/>
    <cellStyle name="40% - Акцент3 10" xfId="181"/>
    <cellStyle name="40% - Акцент3 11" xfId="182"/>
    <cellStyle name="40% - Акцент3 2" xfId="183"/>
    <cellStyle name="40% - Акцент3 3" xfId="184"/>
    <cellStyle name="40% - Акцент3 4" xfId="185"/>
    <cellStyle name="40% - Акцент3 5" xfId="186"/>
    <cellStyle name="40% - Акцент3 6" xfId="187"/>
    <cellStyle name="40% - Акцент3 7" xfId="188"/>
    <cellStyle name="40% - Акцент3 8" xfId="189"/>
    <cellStyle name="40% - Акцент3 9" xfId="190"/>
    <cellStyle name="40% - Акцент4 10" xfId="191"/>
    <cellStyle name="40% - Акцент4 11" xfId="192"/>
    <cellStyle name="40% - Акцент4 2" xfId="193"/>
    <cellStyle name="40% - Акцент4 3" xfId="194"/>
    <cellStyle name="40% - Акцент4 4" xfId="195"/>
    <cellStyle name="40% - Акцент4 5" xfId="196"/>
    <cellStyle name="40% - Акцент4 6" xfId="197"/>
    <cellStyle name="40% - Акцент4 7" xfId="198"/>
    <cellStyle name="40% - Акцент4 8" xfId="199"/>
    <cellStyle name="40% - Акцент4 9" xfId="200"/>
    <cellStyle name="40% - Акцент5 10" xfId="201"/>
    <cellStyle name="40% - Акцент5 11" xfId="202"/>
    <cellStyle name="40% - Акцент5 2" xfId="203"/>
    <cellStyle name="40% - Акцент5 3" xfId="204"/>
    <cellStyle name="40% - Акцент5 4" xfId="205"/>
    <cellStyle name="40% - Акцент5 5" xfId="206"/>
    <cellStyle name="40% - Акцент5 6" xfId="207"/>
    <cellStyle name="40% - Акцент5 7" xfId="208"/>
    <cellStyle name="40% - Акцент5 8" xfId="209"/>
    <cellStyle name="40% - Акцент5 9" xfId="210"/>
    <cellStyle name="40% - Акцент6 10" xfId="211"/>
    <cellStyle name="40% - Акцент6 11" xfId="212"/>
    <cellStyle name="40% - Акцент6 2" xfId="213"/>
    <cellStyle name="40% - Акцент6 3" xfId="214"/>
    <cellStyle name="40% - Акцент6 4" xfId="215"/>
    <cellStyle name="40% - Акцент6 5" xfId="216"/>
    <cellStyle name="40% - Акцент6 6" xfId="217"/>
    <cellStyle name="40% - Акцент6 7" xfId="218"/>
    <cellStyle name="40% - Акцент6 8" xfId="219"/>
    <cellStyle name="40% - Акцент6 9" xfId="220"/>
    <cellStyle name="60% - Accent1" xfId="221"/>
    <cellStyle name="60% - Accent2" xfId="222"/>
    <cellStyle name="60% - Accent3" xfId="223"/>
    <cellStyle name="60% - Accent4" xfId="224"/>
    <cellStyle name="60% - Accent5" xfId="225"/>
    <cellStyle name="60% - Accent6" xfId="226"/>
    <cellStyle name="60% - Акцент1 10" xfId="227"/>
    <cellStyle name="60% - Акцент1 11" xfId="228"/>
    <cellStyle name="60% - Акцент1 2" xfId="229"/>
    <cellStyle name="60% - Акцент1 3" xfId="230"/>
    <cellStyle name="60% - Акцент1 4" xfId="231"/>
    <cellStyle name="60% - Акцент1 5" xfId="232"/>
    <cellStyle name="60% - Акцент1 6" xfId="233"/>
    <cellStyle name="60% - Акцент1 7" xfId="234"/>
    <cellStyle name="60% - Акцент1 8" xfId="235"/>
    <cellStyle name="60% - Акцент1 9" xfId="236"/>
    <cellStyle name="60% - Акцент2 10" xfId="237"/>
    <cellStyle name="60% - Акцент2 11" xfId="238"/>
    <cellStyle name="60% - Акцент2 2" xfId="239"/>
    <cellStyle name="60% - Акцент2 3" xfId="240"/>
    <cellStyle name="60% - Акцент2 4" xfId="241"/>
    <cellStyle name="60% - Акцент2 5" xfId="242"/>
    <cellStyle name="60% - Акцент2 6" xfId="243"/>
    <cellStyle name="60% - Акцент2 7" xfId="244"/>
    <cellStyle name="60% - Акцент2 8" xfId="245"/>
    <cellStyle name="60% - Акцент2 9" xfId="246"/>
    <cellStyle name="60% - Акцент3 10" xfId="247"/>
    <cellStyle name="60% - Акцент3 11" xfId="248"/>
    <cellStyle name="60% - Акцент3 2" xfId="249"/>
    <cellStyle name="60% - Акцент3 3" xfId="250"/>
    <cellStyle name="60% - Акцент3 4" xfId="251"/>
    <cellStyle name="60% - Акцент3 5" xfId="252"/>
    <cellStyle name="60% - Акцент3 6" xfId="253"/>
    <cellStyle name="60% - Акцент3 7" xfId="254"/>
    <cellStyle name="60% - Акцент3 8" xfId="255"/>
    <cellStyle name="60% - Акцент3 9" xfId="256"/>
    <cellStyle name="60% - Акцент4 10" xfId="257"/>
    <cellStyle name="60% - Акцент4 11" xfId="258"/>
    <cellStyle name="60% - Акцент4 2" xfId="259"/>
    <cellStyle name="60% - Акцент4 3" xfId="260"/>
    <cellStyle name="60% - Акцент4 4" xfId="261"/>
    <cellStyle name="60% - Акцент4 5" xfId="262"/>
    <cellStyle name="60% - Акцент4 6" xfId="263"/>
    <cellStyle name="60% - Акцент4 7" xfId="264"/>
    <cellStyle name="60% - Акцент4 8" xfId="265"/>
    <cellStyle name="60% - Акцент4 9" xfId="266"/>
    <cellStyle name="60% - Акцент5 10" xfId="267"/>
    <cellStyle name="60% - Акцент5 11" xfId="268"/>
    <cellStyle name="60% - Акцент5 2" xfId="269"/>
    <cellStyle name="60% - Акцент5 3" xfId="270"/>
    <cellStyle name="60% - Акцент5 4" xfId="271"/>
    <cellStyle name="60% - Акцент5 5" xfId="272"/>
    <cellStyle name="60% - Акцент5 6" xfId="273"/>
    <cellStyle name="60% - Акцент5 7" xfId="274"/>
    <cellStyle name="60% - Акцент5 8" xfId="275"/>
    <cellStyle name="60% - Акцент5 9" xfId="276"/>
    <cellStyle name="60% - Акцент6 10" xfId="277"/>
    <cellStyle name="60% - Акцент6 11" xfId="278"/>
    <cellStyle name="60% - Акцент6 2" xfId="279"/>
    <cellStyle name="60% - Акцент6 3" xfId="280"/>
    <cellStyle name="60% - Акцент6 4" xfId="281"/>
    <cellStyle name="60% - Акцент6 5" xfId="282"/>
    <cellStyle name="60% - Акцент6 6" xfId="283"/>
    <cellStyle name="60% - Акцент6 7" xfId="284"/>
    <cellStyle name="60% - Акцент6 8" xfId="285"/>
    <cellStyle name="60% - Акцент6 9" xfId="286"/>
    <cellStyle name="Accent1" xfId="287"/>
    <cellStyle name="Accent1 - 20%" xfId="288"/>
    <cellStyle name="Accent1 - 40%" xfId="289"/>
    <cellStyle name="Accent1 - 60%" xfId="290"/>
    <cellStyle name="Accent1 2" xfId="291"/>
    <cellStyle name="Accent1 3" xfId="292"/>
    <cellStyle name="Accent1_Критерии RAB" xfId="293"/>
    <cellStyle name="Accent2" xfId="294"/>
    <cellStyle name="Accent2 - 20%" xfId="295"/>
    <cellStyle name="Accent2 - 40%" xfId="296"/>
    <cellStyle name="Accent2 - 60%" xfId="297"/>
    <cellStyle name="Accent2 2" xfId="298"/>
    <cellStyle name="Accent2 3" xfId="299"/>
    <cellStyle name="Accent2_Критерии RAB" xfId="300"/>
    <cellStyle name="Accent3" xfId="301"/>
    <cellStyle name="Accent3 - 20%" xfId="302"/>
    <cellStyle name="Accent3 - 40%" xfId="303"/>
    <cellStyle name="Accent3 - 60%" xfId="304"/>
    <cellStyle name="Accent3 2" xfId="305"/>
    <cellStyle name="Accent3 3" xfId="306"/>
    <cellStyle name="Accent3_Критерии RAB" xfId="307"/>
    <cellStyle name="Accent4" xfId="308"/>
    <cellStyle name="Accent4 - 20%" xfId="309"/>
    <cellStyle name="Accent4 - 40%" xfId="310"/>
    <cellStyle name="Accent4 - 60%" xfId="311"/>
    <cellStyle name="Accent4 2" xfId="312"/>
    <cellStyle name="Accent4 3" xfId="313"/>
    <cellStyle name="Accent4_Критерии RAB" xfId="314"/>
    <cellStyle name="Accent5" xfId="315"/>
    <cellStyle name="Accent5 - 20%" xfId="316"/>
    <cellStyle name="Accent5 - 40%" xfId="317"/>
    <cellStyle name="Accent5 - 60%" xfId="318"/>
    <cellStyle name="Accent5 2" xfId="319"/>
    <cellStyle name="Accent5 3" xfId="320"/>
    <cellStyle name="Accent5_Критерии RAB" xfId="321"/>
    <cellStyle name="Accent6" xfId="322"/>
    <cellStyle name="Accent6 - 20%" xfId="323"/>
    <cellStyle name="Accent6 - 40%" xfId="324"/>
    <cellStyle name="Accent6 - 60%" xfId="325"/>
    <cellStyle name="Accent6 2" xfId="326"/>
    <cellStyle name="Accent6 3" xfId="327"/>
    <cellStyle name="Accent6_Критерии RAB" xfId="328"/>
    <cellStyle name="account" xfId="329"/>
    <cellStyle name="Accounting" xfId="330"/>
    <cellStyle name="Ăčďĺđńńűëęŕ" xfId="331"/>
    <cellStyle name="Ăčďĺđńńűëęŕ 2" xfId="332"/>
    <cellStyle name="Áĺççŕůčňíűé" xfId="333"/>
    <cellStyle name="Äĺíĺćíűé [0]_(ňŕá 3č)" xfId="334"/>
    <cellStyle name="Äĺíĺćíűé_(ňŕá 3č)" xfId="335"/>
    <cellStyle name="Anna" xfId="336"/>
    <cellStyle name="AP_AR_UPS" xfId="337"/>
    <cellStyle name="BackGround_General" xfId="338"/>
    <cellStyle name="Bad" xfId="339"/>
    <cellStyle name="Bad 2" xfId="340"/>
    <cellStyle name="blank" xfId="341"/>
    <cellStyle name="Blue_Calculation" xfId="342"/>
    <cellStyle name="Calculation" xfId="343"/>
    <cellStyle name="Calculation 2" xfId="344"/>
    <cellStyle name="Check" xfId="345"/>
    <cellStyle name="Check Cell" xfId="346"/>
    <cellStyle name="Check Cell 2" xfId="347"/>
    <cellStyle name="Comma [0]_laroux" xfId="348"/>
    <cellStyle name="Comma_laroux" xfId="349"/>
    <cellStyle name="Comma0" xfId="350"/>
    <cellStyle name="Çŕůčňíűé" xfId="351"/>
    <cellStyle name="Currency [0]" xfId="352"/>
    <cellStyle name="Currency [0] 2" xfId="353"/>
    <cellStyle name="Currency [0] 3" xfId="354"/>
    <cellStyle name="Currency [0] 4" xfId="355"/>
    <cellStyle name="Currency_laroux" xfId="356"/>
    <cellStyle name="Currency0" xfId="357"/>
    <cellStyle name="Currency2" xfId="358"/>
    <cellStyle name="Date" xfId="359"/>
    <cellStyle name="date 2" xfId="360"/>
    <cellStyle name="Dates" xfId="361"/>
    <cellStyle name="Dezimal [0]_Compiling Utility Macros" xfId="362"/>
    <cellStyle name="Dezimal_Compiling Utility Macros" xfId="363"/>
    <cellStyle name="E-mail" xfId="364"/>
    <cellStyle name="Emphasis 1" xfId="365"/>
    <cellStyle name="Emphasis 2" xfId="366"/>
    <cellStyle name="Emphasis 3" xfId="367"/>
    <cellStyle name="Euro" xfId="368"/>
    <cellStyle name="Excel Built-in Normal" xfId="369"/>
    <cellStyle name="Excel Built-in Normal 2" xfId="370"/>
    <cellStyle name="Explanatory Text" xfId="371"/>
    <cellStyle name="Fixed" xfId="372"/>
    <cellStyle name="Followed Hyperlink" xfId="373"/>
    <cellStyle name="Footnotes" xfId="374"/>
    <cellStyle name="General_Ledger" xfId="375"/>
    <cellStyle name="Good" xfId="376"/>
    <cellStyle name="Good 2" xfId="377"/>
    <cellStyle name="Heading" xfId="378"/>
    <cellStyle name="Heading 1" xfId="379"/>
    <cellStyle name="Heading 1 1" xfId="380"/>
    <cellStyle name="Heading 1 2" xfId="381"/>
    <cellStyle name="Heading 2" xfId="382"/>
    <cellStyle name="Heading 2 2" xfId="383"/>
    <cellStyle name="Heading 3" xfId="384"/>
    <cellStyle name="Heading 3 2" xfId="385"/>
    <cellStyle name="Heading 4" xfId="386"/>
    <cellStyle name="Heading 4 2" xfId="387"/>
    <cellStyle name="Heading2" xfId="388"/>
    <cellStyle name="Hidden" xfId="389"/>
    <cellStyle name="Hyperlink" xfId="390"/>
    <cellStyle name="Îáű÷íűé__FES" xfId="391"/>
    <cellStyle name="Îňęđűâŕâřŕ˙ń˙ ăčďĺđńńűëęŕ" xfId="392"/>
    <cellStyle name="Îňęđűâŕâřŕ˙ń˙ ăčďĺđńńűëęŕ 2" xfId="393"/>
    <cellStyle name="Input" xfId="394"/>
    <cellStyle name="Input 2" xfId="395"/>
    <cellStyle name="Inputs" xfId="396"/>
    <cellStyle name="Inputs (const)" xfId="397"/>
    <cellStyle name="Inputs Co" xfId="398"/>
    <cellStyle name="Just_Table" xfId="399"/>
    <cellStyle name="LeftTitle" xfId="400"/>
    <cellStyle name="Linked Cell" xfId="401"/>
    <cellStyle name="Linked Cell 2" xfId="402"/>
    <cellStyle name="Neutral" xfId="403"/>
    <cellStyle name="Neutral 2" xfId="404"/>
    <cellStyle name="No_Input" xfId="405"/>
    <cellStyle name="normal" xfId="406"/>
    <cellStyle name="Normal1" xfId="407"/>
    <cellStyle name="Normal2" xfId="408"/>
    <cellStyle name="Note" xfId="409"/>
    <cellStyle name="Note 2" xfId="410"/>
    <cellStyle name="Note 3" xfId="411"/>
    <cellStyle name="Note_Критерии RAB" xfId="412"/>
    <cellStyle name="Ôčíŕíńîâűé [0]_(ňŕá 3č)" xfId="413"/>
    <cellStyle name="Ôčíŕíńîâűé_(ňŕá 3č)" xfId="414"/>
    <cellStyle name="Output" xfId="415"/>
    <cellStyle name="Output 2" xfId="416"/>
    <cellStyle name="PageHeading" xfId="417"/>
    <cellStyle name="Percent1" xfId="418"/>
    <cellStyle name="Price_Body" xfId="419"/>
    <cellStyle name="QTitle" xfId="420"/>
    <cellStyle name="range" xfId="421"/>
    <cellStyle name="SAPBEXaggData" xfId="422"/>
    <cellStyle name="SAPBEXaggDataEmph" xfId="423"/>
    <cellStyle name="SAPBEXaggItem" xfId="424"/>
    <cellStyle name="SAPBEXaggItemX" xfId="425"/>
    <cellStyle name="SAPBEXchaText" xfId="426"/>
    <cellStyle name="SAPBEXchaText 2" xfId="427"/>
    <cellStyle name="SAPBEXchaText_Критерии RAB" xfId="428"/>
    <cellStyle name="SAPBEXexcBad7" xfId="429"/>
    <cellStyle name="SAPBEXexcBad8" xfId="430"/>
    <cellStyle name="SAPBEXexcBad9" xfId="431"/>
    <cellStyle name="SAPBEXexcCritical4" xfId="432"/>
    <cellStyle name="SAPBEXexcCritical5" xfId="433"/>
    <cellStyle name="SAPBEXexcCritical6" xfId="434"/>
    <cellStyle name="SAPBEXexcGood1" xfId="435"/>
    <cellStyle name="SAPBEXexcGood2" xfId="436"/>
    <cellStyle name="SAPBEXexcGood3" xfId="437"/>
    <cellStyle name="SAPBEXfilterDrill" xfId="438"/>
    <cellStyle name="SAPBEXfilterItem" xfId="439"/>
    <cellStyle name="SAPBEXfilterText" xfId="440"/>
    <cellStyle name="SAPBEXformats" xfId="441"/>
    <cellStyle name="SAPBEXformats 2" xfId="442"/>
    <cellStyle name="SAPBEXformats_Критерии RAB" xfId="443"/>
    <cellStyle name="SAPBEXheaderItem" xfId="444"/>
    <cellStyle name="SAPBEXheaderText" xfId="445"/>
    <cellStyle name="SAPBEXHLevel0" xfId="446"/>
    <cellStyle name="SAPBEXHLevel0 2" xfId="447"/>
    <cellStyle name="SAPBEXHLevel0_Критерии RAB" xfId="448"/>
    <cellStyle name="SAPBEXHLevel0X" xfId="449"/>
    <cellStyle name="SAPBEXHLevel0X 2" xfId="450"/>
    <cellStyle name="SAPBEXHLevel0X_Критерии RAB" xfId="451"/>
    <cellStyle name="SAPBEXHLevel1" xfId="452"/>
    <cellStyle name="SAPBEXHLevel1 2" xfId="453"/>
    <cellStyle name="SAPBEXHLevel1_Критерии RAB" xfId="454"/>
    <cellStyle name="SAPBEXHLevel1X" xfId="455"/>
    <cellStyle name="SAPBEXHLevel1X 2" xfId="456"/>
    <cellStyle name="SAPBEXHLevel1X_Критерии RAB" xfId="457"/>
    <cellStyle name="SAPBEXHLevel2" xfId="458"/>
    <cellStyle name="SAPBEXHLevel2 2" xfId="459"/>
    <cellStyle name="SAPBEXHLevel2_Критерии RAB" xfId="460"/>
    <cellStyle name="SAPBEXHLevel2X" xfId="461"/>
    <cellStyle name="SAPBEXHLevel2X 2" xfId="462"/>
    <cellStyle name="SAPBEXHLevel2X_Критерии RAB" xfId="463"/>
    <cellStyle name="SAPBEXHLevel3" xfId="464"/>
    <cellStyle name="SAPBEXHLevel3 2" xfId="465"/>
    <cellStyle name="SAPBEXHLevel3_Критерии RAB" xfId="466"/>
    <cellStyle name="SAPBEXHLevel3X" xfId="467"/>
    <cellStyle name="SAPBEXHLevel3X 2" xfId="468"/>
    <cellStyle name="SAPBEXHLevel3X_Критерии RAB" xfId="469"/>
    <cellStyle name="SAPBEXinputData" xfId="470"/>
    <cellStyle name="SAPBEXinputData 2" xfId="471"/>
    <cellStyle name="SAPBEXresData" xfId="472"/>
    <cellStyle name="SAPBEXresDataEmph" xfId="473"/>
    <cellStyle name="SAPBEXresItem" xfId="474"/>
    <cellStyle name="SAPBEXresItemX" xfId="475"/>
    <cellStyle name="SAPBEXstdData" xfId="476"/>
    <cellStyle name="SAPBEXstdDataEmph" xfId="477"/>
    <cellStyle name="SAPBEXstdItem" xfId="478"/>
    <cellStyle name="SAPBEXstdItem 2" xfId="479"/>
    <cellStyle name="SAPBEXstdItem_Критерии RAB" xfId="480"/>
    <cellStyle name="SAPBEXstdItemX" xfId="481"/>
    <cellStyle name="SAPBEXstdItemX 2" xfId="482"/>
    <cellStyle name="SAPBEXstdItemX_Критерии RAB" xfId="483"/>
    <cellStyle name="SAPBEXtitle" xfId="484"/>
    <cellStyle name="SAPBEXundefined" xfId="485"/>
    <cellStyle name="SEM-BPS-data" xfId="486"/>
    <cellStyle name="SEM-BPS-head" xfId="487"/>
    <cellStyle name="SEM-BPS-headdata" xfId="488"/>
    <cellStyle name="SEM-BPS-headkey" xfId="489"/>
    <cellStyle name="SEM-BPS-input-on" xfId="490"/>
    <cellStyle name="SEM-BPS-key" xfId="491"/>
    <cellStyle name="SEM-BPS-sub1" xfId="492"/>
    <cellStyle name="SEM-BPS-sub2" xfId="493"/>
    <cellStyle name="SEM-BPS-total" xfId="494"/>
    <cellStyle name="Sheet Title" xfId="495"/>
    <cellStyle name="Show_Sell" xfId="496"/>
    <cellStyle name="Standard_Anpassen der Amortisation" xfId="497"/>
    <cellStyle name="Table" xfId="498"/>
    <cellStyle name="Table Heading" xfId="499"/>
    <cellStyle name="Title" xfId="500"/>
    <cellStyle name="Total" xfId="501"/>
    <cellStyle name="Total 2" xfId="502"/>
    <cellStyle name="Total_Критерии RAB" xfId="503"/>
    <cellStyle name="Validation" xfId="504"/>
    <cellStyle name="Warning Text" xfId="505"/>
    <cellStyle name="Warning Text 2" xfId="506"/>
    <cellStyle name="white" xfId="507"/>
    <cellStyle name="Wдhrung [0]_Compiling Utility Macros" xfId="508"/>
    <cellStyle name="Wдhrung_Compiling Utility Macros" xfId="509"/>
    <cellStyle name="YelNumbersCurr" xfId="510"/>
    <cellStyle name="Акцент1" xfId="511" builtinId="29"/>
    <cellStyle name="Акцент1 10" xfId="512"/>
    <cellStyle name="Акцент1 11" xfId="513"/>
    <cellStyle name="Акцент1 2" xfId="514"/>
    <cellStyle name="Акцент1 3" xfId="515"/>
    <cellStyle name="Акцент1 4" xfId="516"/>
    <cellStyle name="Акцент1 5" xfId="517"/>
    <cellStyle name="Акцент1 6" xfId="518"/>
    <cellStyle name="Акцент1 7" xfId="519"/>
    <cellStyle name="Акцент1 8" xfId="520"/>
    <cellStyle name="Акцент1 9" xfId="521"/>
    <cellStyle name="Акцент2 10" xfId="522"/>
    <cellStyle name="Акцент2 11" xfId="523"/>
    <cellStyle name="Акцент2 2" xfId="524"/>
    <cellStyle name="Акцент2 3" xfId="525"/>
    <cellStyle name="Акцент2 4" xfId="526"/>
    <cellStyle name="Акцент2 5" xfId="527"/>
    <cellStyle name="Акцент2 6" xfId="528"/>
    <cellStyle name="Акцент2 7" xfId="529"/>
    <cellStyle name="Акцент2 8" xfId="530"/>
    <cellStyle name="Акцент2 9" xfId="531"/>
    <cellStyle name="Акцент3 10" xfId="532"/>
    <cellStyle name="Акцент3 11" xfId="533"/>
    <cellStyle name="Акцент3 2" xfId="534"/>
    <cellStyle name="Акцент3 3" xfId="535"/>
    <cellStyle name="Акцент3 4" xfId="536"/>
    <cellStyle name="Акцент3 5" xfId="537"/>
    <cellStyle name="Акцент3 6" xfId="538"/>
    <cellStyle name="Акцент3 7" xfId="539"/>
    <cellStyle name="Акцент3 8" xfId="540"/>
    <cellStyle name="Акцент3 9" xfId="541"/>
    <cellStyle name="Акцент4 10" xfId="542"/>
    <cellStyle name="Акцент4 11" xfId="543"/>
    <cellStyle name="Акцент4 2" xfId="544"/>
    <cellStyle name="Акцент4 3" xfId="545"/>
    <cellStyle name="Акцент4 4" xfId="546"/>
    <cellStyle name="Акцент4 5" xfId="547"/>
    <cellStyle name="Акцент4 6" xfId="548"/>
    <cellStyle name="Акцент4 7" xfId="549"/>
    <cellStyle name="Акцент4 8" xfId="550"/>
    <cellStyle name="Акцент4 9" xfId="551"/>
    <cellStyle name="Акцент5 10" xfId="552"/>
    <cellStyle name="Акцент5 11" xfId="553"/>
    <cellStyle name="Акцент5 2" xfId="554"/>
    <cellStyle name="Акцент5 3" xfId="555"/>
    <cellStyle name="Акцент5 4" xfId="556"/>
    <cellStyle name="Акцент5 5" xfId="557"/>
    <cellStyle name="Акцент5 6" xfId="558"/>
    <cellStyle name="Акцент5 7" xfId="559"/>
    <cellStyle name="Акцент5 8" xfId="560"/>
    <cellStyle name="Акцент5 9" xfId="561"/>
    <cellStyle name="Акцент6 10" xfId="562"/>
    <cellStyle name="Акцент6 11" xfId="563"/>
    <cellStyle name="Акцент6 2" xfId="564"/>
    <cellStyle name="Акцент6 3" xfId="565"/>
    <cellStyle name="Акцент6 4" xfId="566"/>
    <cellStyle name="Акцент6 5" xfId="567"/>
    <cellStyle name="Акцент6 6" xfId="568"/>
    <cellStyle name="Акцент6 7" xfId="569"/>
    <cellStyle name="Акцент6 8" xfId="570"/>
    <cellStyle name="Акцент6 9" xfId="571"/>
    <cellStyle name="Беззащитный" xfId="572"/>
    <cellStyle name="Ввод  10" xfId="573"/>
    <cellStyle name="Ввод  11" xfId="574"/>
    <cellStyle name="Ввод  2" xfId="575"/>
    <cellStyle name="Ввод  3" xfId="576"/>
    <cellStyle name="Ввод  4" xfId="577"/>
    <cellStyle name="Ввод  5" xfId="578"/>
    <cellStyle name="Ввод  6" xfId="579"/>
    <cellStyle name="Ввод  7" xfId="580"/>
    <cellStyle name="Ввод  8" xfId="581"/>
    <cellStyle name="Ввод  9" xfId="582"/>
    <cellStyle name="Внешняя сылка" xfId="583"/>
    <cellStyle name="Вывод 10" xfId="584"/>
    <cellStyle name="Вывод 11" xfId="585"/>
    <cellStyle name="Вывод 2" xfId="586"/>
    <cellStyle name="Вывод 3" xfId="587"/>
    <cellStyle name="Вывод 4" xfId="588"/>
    <cellStyle name="Вывод 5" xfId="589"/>
    <cellStyle name="Вывод 6" xfId="590"/>
    <cellStyle name="Вывод 7" xfId="591"/>
    <cellStyle name="Вывод 8" xfId="592"/>
    <cellStyle name="Вывод 9" xfId="593"/>
    <cellStyle name="Вычисление 10" xfId="594"/>
    <cellStyle name="Вычисление 11" xfId="595"/>
    <cellStyle name="Вычисление 2" xfId="596"/>
    <cellStyle name="Вычисление 3" xfId="597"/>
    <cellStyle name="Вычисление 4" xfId="598"/>
    <cellStyle name="Вычисление 5" xfId="599"/>
    <cellStyle name="Вычисление 6" xfId="600"/>
    <cellStyle name="Вычисление 7" xfId="601"/>
    <cellStyle name="Вычисление 8" xfId="602"/>
    <cellStyle name="Вычисление 9" xfId="603"/>
    <cellStyle name="Гиперссылка" xfId="604" builtinId="8"/>
    <cellStyle name="Гиперссылка 2" xfId="605"/>
    <cellStyle name="Гиперссылка 3" xfId="606"/>
    <cellStyle name="Денежный 2" xfId="607"/>
    <cellStyle name="Заголовок" xfId="608"/>
    <cellStyle name="Заголовок 1" xfId="609" builtinId="16"/>
    <cellStyle name="Заголовок 1 10" xfId="610"/>
    <cellStyle name="Заголовок 1 11" xfId="611"/>
    <cellStyle name="Заголовок 1 2" xfId="612"/>
    <cellStyle name="Заголовок 1 3" xfId="613"/>
    <cellStyle name="Заголовок 1 4" xfId="614"/>
    <cellStyle name="Заголовок 1 5" xfId="615"/>
    <cellStyle name="Заголовок 1 6" xfId="616"/>
    <cellStyle name="Заголовок 1 7" xfId="617"/>
    <cellStyle name="Заголовок 1 8" xfId="618"/>
    <cellStyle name="Заголовок 1 9" xfId="619"/>
    <cellStyle name="Заголовок 2" xfId="620" builtinId="17"/>
    <cellStyle name="Заголовок 2 10" xfId="621"/>
    <cellStyle name="Заголовок 2 11" xfId="622"/>
    <cellStyle name="Заголовок 2 2" xfId="623"/>
    <cellStyle name="Заголовок 2 3" xfId="624"/>
    <cellStyle name="Заголовок 2 4" xfId="625"/>
    <cellStyle name="Заголовок 2 5" xfId="626"/>
    <cellStyle name="Заголовок 2 6" xfId="627"/>
    <cellStyle name="Заголовок 2 7" xfId="628"/>
    <cellStyle name="Заголовок 2 8" xfId="629"/>
    <cellStyle name="Заголовок 2 9" xfId="630"/>
    <cellStyle name="Заголовок 3" xfId="631" builtinId="18"/>
    <cellStyle name="Заголовок 3 10" xfId="632"/>
    <cellStyle name="Заголовок 3 11" xfId="633"/>
    <cellStyle name="Заголовок 3 2" xfId="634"/>
    <cellStyle name="Заголовок 3 3" xfId="635"/>
    <cellStyle name="Заголовок 3 4" xfId="636"/>
    <cellStyle name="Заголовок 3 5" xfId="637"/>
    <cellStyle name="Заголовок 3 6" xfId="638"/>
    <cellStyle name="Заголовок 3 7" xfId="639"/>
    <cellStyle name="Заголовок 3 8" xfId="640"/>
    <cellStyle name="Заголовок 3 9" xfId="641"/>
    <cellStyle name="Заголовок 4 10" xfId="642"/>
    <cellStyle name="Заголовок 4 11" xfId="643"/>
    <cellStyle name="Заголовок 4 2" xfId="644"/>
    <cellStyle name="Заголовок 4 3" xfId="645"/>
    <cellStyle name="Заголовок 4 4" xfId="646"/>
    <cellStyle name="Заголовок 4 5" xfId="647"/>
    <cellStyle name="Заголовок 4 6" xfId="648"/>
    <cellStyle name="Заголовок 4 7" xfId="649"/>
    <cellStyle name="Заголовок 4 8" xfId="650"/>
    <cellStyle name="Заголовок 4 9" xfId="651"/>
    <cellStyle name="ЗаголовокСтолбца" xfId="652"/>
    <cellStyle name="ЗаголовокСтолбца 2" xfId="653"/>
    <cellStyle name="Защитный" xfId="654"/>
    <cellStyle name="Значение" xfId="655"/>
    <cellStyle name="Значение 2" xfId="656"/>
    <cellStyle name="Значение 3" xfId="657"/>
    <cellStyle name="Зоголовок" xfId="658"/>
    <cellStyle name="зфпуруфвштп" xfId="659"/>
    <cellStyle name="Итог" xfId="661" builtinId="25"/>
    <cellStyle name="Итог 10" xfId="662"/>
    <cellStyle name="Итог 11" xfId="663"/>
    <cellStyle name="Итог 2" xfId="664"/>
    <cellStyle name="Итог 3" xfId="665"/>
    <cellStyle name="Итог 4" xfId="666"/>
    <cellStyle name="Итог 5" xfId="667"/>
    <cellStyle name="Итог 6" xfId="668"/>
    <cellStyle name="Итог 7" xfId="669"/>
    <cellStyle name="Итог 8" xfId="670"/>
    <cellStyle name="Итог 9" xfId="671"/>
    <cellStyle name="Итого" xfId="672"/>
    <cellStyle name="йешеду" xfId="660"/>
    <cellStyle name="Контрольная ячейка 10" xfId="673"/>
    <cellStyle name="Контрольная ячейка 11" xfId="674"/>
    <cellStyle name="Контрольная ячейка 2" xfId="675"/>
    <cellStyle name="Контрольная ячейка 3" xfId="676"/>
    <cellStyle name="Контрольная ячейка 4" xfId="677"/>
    <cellStyle name="Контрольная ячейка 5" xfId="678"/>
    <cellStyle name="Контрольная ячейка 6" xfId="679"/>
    <cellStyle name="Контрольная ячейка 7" xfId="680"/>
    <cellStyle name="Контрольная ячейка 8" xfId="681"/>
    <cellStyle name="Контрольная ячейка 9" xfId="682"/>
    <cellStyle name="Мои наименования показателей" xfId="687"/>
    <cellStyle name="Мои наименования показателей 2" xfId="688"/>
    <cellStyle name="Мои наименования показателей 3" xfId="689"/>
    <cellStyle name="Мои наименования показателей 4" xfId="690"/>
    <cellStyle name="Мои наименования показателей_ТМ передача 31.03.2011 (Морд)" xfId="691"/>
    <cellStyle name="Мой заголовок" xfId="683"/>
    <cellStyle name="Мой заголовок листа" xfId="684"/>
    <cellStyle name="Мой заголовок листа 2" xfId="685"/>
    <cellStyle name="Мой заголовок листа_Итоги тариф. кампании 2011_коррек" xfId="686"/>
    <cellStyle name="Название 10" xfId="692"/>
    <cellStyle name="Название 11" xfId="693"/>
    <cellStyle name="Название 2" xfId="694"/>
    <cellStyle name="Название 3" xfId="695"/>
    <cellStyle name="Название 4" xfId="696"/>
    <cellStyle name="Название 5" xfId="697"/>
    <cellStyle name="Название 6" xfId="698"/>
    <cellStyle name="Название 7" xfId="699"/>
    <cellStyle name="Название 8" xfId="700"/>
    <cellStyle name="Название 9" xfId="701"/>
    <cellStyle name="Нейтральный 10" xfId="702"/>
    <cellStyle name="Нейтральный 11" xfId="703"/>
    <cellStyle name="Нейтральный 2" xfId="704"/>
    <cellStyle name="Нейтральный 3" xfId="705"/>
    <cellStyle name="Нейтральный 4" xfId="706"/>
    <cellStyle name="Нейтральный 5" xfId="707"/>
    <cellStyle name="Нейтральный 6" xfId="708"/>
    <cellStyle name="Нейтральный 7" xfId="709"/>
    <cellStyle name="Нейтральный 8" xfId="710"/>
    <cellStyle name="Нейтральный 9" xfId="711"/>
    <cellStyle name="Обычный" xfId="0" builtinId="0"/>
    <cellStyle name="Обычный 10" xfId="712"/>
    <cellStyle name="Обычный 10 10" xfId="713"/>
    <cellStyle name="Обычный 11" xfId="714"/>
    <cellStyle name="Обычный 12" xfId="715"/>
    <cellStyle name="Обычный 12 2" xfId="716"/>
    <cellStyle name="Обычный 13" xfId="717"/>
    <cellStyle name="Обычный 14" xfId="2777"/>
    <cellStyle name="Обычный 14 2" xfId="2778"/>
    <cellStyle name="Обычный 15" xfId="2780"/>
    <cellStyle name="Обычный 2" xfId="718"/>
    <cellStyle name="Обычный 2 10" xfId="719"/>
    <cellStyle name="Обычный 2 10 2" xfId="720"/>
    <cellStyle name="Обычный 2 100" xfId="721"/>
    <cellStyle name="Обычный 2 101" xfId="722"/>
    <cellStyle name="Обычный 2 102" xfId="723"/>
    <cellStyle name="Обычный 2 103" xfId="724"/>
    <cellStyle name="Обычный 2 104" xfId="725"/>
    <cellStyle name="Обычный 2 105" xfId="726"/>
    <cellStyle name="Обычный 2 106" xfId="727"/>
    <cellStyle name="Обычный 2 107" xfId="728"/>
    <cellStyle name="Обычный 2 108" xfId="729"/>
    <cellStyle name="Обычный 2 109" xfId="730"/>
    <cellStyle name="Обычный 2 11" xfId="731"/>
    <cellStyle name="Обычный 2 110" xfId="732"/>
    <cellStyle name="Обычный 2 111" xfId="733"/>
    <cellStyle name="Обычный 2 112" xfId="734"/>
    <cellStyle name="Обычный 2 113" xfId="735"/>
    <cellStyle name="Обычный 2 114" xfId="736"/>
    <cellStyle name="Обычный 2 115" xfId="737"/>
    <cellStyle name="Обычный 2 116" xfId="738"/>
    <cellStyle name="Обычный 2 117" xfId="739"/>
    <cellStyle name="Обычный 2 118" xfId="740"/>
    <cellStyle name="Обычный 2 119" xfId="741"/>
    <cellStyle name="Обычный 2 12" xfId="742"/>
    <cellStyle name="Обычный 2 120" xfId="743"/>
    <cellStyle name="Обычный 2 121" xfId="744"/>
    <cellStyle name="Обычный 2 122" xfId="745"/>
    <cellStyle name="Обычный 2 123" xfId="746"/>
    <cellStyle name="Обычный 2 124" xfId="747"/>
    <cellStyle name="Обычный 2 125" xfId="748"/>
    <cellStyle name="Обычный 2 126" xfId="749"/>
    <cellStyle name="Обычный 2 127" xfId="750"/>
    <cellStyle name="Обычный 2 128" xfId="751"/>
    <cellStyle name="Обычный 2 129" xfId="752"/>
    <cellStyle name="Обычный 2 13" xfId="753"/>
    <cellStyle name="Обычный 2 130" xfId="754"/>
    <cellStyle name="Обычный 2 131" xfId="755"/>
    <cellStyle name="Обычный 2 132" xfId="756"/>
    <cellStyle name="Обычный 2 133" xfId="757"/>
    <cellStyle name="Обычный 2 134" xfId="758"/>
    <cellStyle name="Обычный 2 135" xfId="759"/>
    <cellStyle name="Обычный 2 136" xfId="760"/>
    <cellStyle name="Обычный 2 137" xfId="761"/>
    <cellStyle name="Обычный 2 138" xfId="762"/>
    <cellStyle name="Обычный 2 139" xfId="763"/>
    <cellStyle name="Обычный 2 14" xfId="764"/>
    <cellStyle name="Обычный 2 140" xfId="765"/>
    <cellStyle name="Обычный 2 141" xfId="766"/>
    <cellStyle name="Обычный 2 142" xfId="767"/>
    <cellStyle name="Обычный 2 15" xfId="768"/>
    <cellStyle name="Обычный 2 16" xfId="769"/>
    <cellStyle name="Обычный 2 17" xfId="770"/>
    <cellStyle name="Обычный 2 18" xfId="771"/>
    <cellStyle name="Обычный 2 19" xfId="772"/>
    <cellStyle name="Обычный 2 2" xfId="773"/>
    <cellStyle name="Обычный 2 2 10" xfId="774"/>
    <cellStyle name="Обычный 2 2 100" xfId="775"/>
    <cellStyle name="Обычный 2 2 101" xfId="776"/>
    <cellStyle name="Обычный 2 2 102" xfId="777"/>
    <cellStyle name="Обычный 2 2 103" xfId="778"/>
    <cellStyle name="Обычный 2 2 104" xfId="779"/>
    <cellStyle name="Обычный 2 2 105" xfId="780"/>
    <cellStyle name="Обычный 2 2 106" xfId="781"/>
    <cellStyle name="Обычный 2 2 107" xfId="782"/>
    <cellStyle name="Обычный 2 2 108" xfId="783"/>
    <cellStyle name="Обычный 2 2 109" xfId="784"/>
    <cellStyle name="Обычный 2 2 11" xfId="785"/>
    <cellStyle name="Обычный 2 2 110" xfId="786"/>
    <cellStyle name="Обычный 2 2 111" xfId="787"/>
    <cellStyle name="Обычный 2 2 112" xfId="788"/>
    <cellStyle name="Обычный 2 2 113" xfId="789"/>
    <cellStyle name="Обычный 2 2 114" xfId="790"/>
    <cellStyle name="Обычный 2 2 115" xfId="791"/>
    <cellStyle name="Обычный 2 2 116" xfId="792"/>
    <cellStyle name="Обычный 2 2 117" xfId="793"/>
    <cellStyle name="Обычный 2 2 118" xfId="794"/>
    <cellStyle name="Обычный 2 2 119" xfId="795"/>
    <cellStyle name="Обычный 2 2 12" xfId="796"/>
    <cellStyle name="Обычный 2 2 120" xfId="797"/>
    <cellStyle name="Обычный 2 2 121" xfId="798"/>
    <cellStyle name="Обычный 2 2 122" xfId="799"/>
    <cellStyle name="Обычный 2 2 123" xfId="800"/>
    <cellStyle name="Обычный 2 2 124" xfId="801"/>
    <cellStyle name="Обычный 2 2 125" xfId="802"/>
    <cellStyle name="Обычный 2 2 126" xfId="803"/>
    <cellStyle name="Обычный 2 2 127" xfId="804"/>
    <cellStyle name="Обычный 2 2 128" xfId="805"/>
    <cellStyle name="Обычный 2 2 129" xfId="806"/>
    <cellStyle name="Обычный 2 2 13" xfId="807"/>
    <cellStyle name="Обычный 2 2 130" xfId="808"/>
    <cellStyle name="Обычный 2 2 131" xfId="809"/>
    <cellStyle name="Обычный 2 2 132" xfId="810"/>
    <cellStyle name="Обычный 2 2 133" xfId="811"/>
    <cellStyle name="Обычный 2 2 134" xfId="812"/>
    <cellStyle name="Обычный 2 2 135" xfId="813"/>
    <cellStyle name="Обычный 2 2 136" xfId="814"/>
    <cellStyle name="Обычный 2 2 137" xfId="815"/>
    <cellStyle name="Обычный 2 2 138" xfId="816"/>
    <cellStyle name="Обычный 2 2 139" xfId="817"/>
    <cellStyle name="Обычный 2 2 14" xfId="818"/>
    <cellStyle name="Обычный 2 2 140" xfId="819"/>
    <cellStyle name="Обычный 2 2 141" xfId="820"/>
    <cellStyle name="Обычный 2 2 142" xfId="821"/>
    <cellStyle name="Обычный 2 2 15" xfId="822"/>
    <cellStyle name="Обычный 2 2 16" xfId="823"/>
    <cellStyle name="Обычный 2 2 17" xfId="824"/>
    <cellStyle name="Обычный 2 2 18" xfId="825"/>
    <cellStyle name="Обычный 2 2 19" xfId="826"/>
    <cellStyle name="Обычный 2 2 2" xfId="827"/>
    <cellStyle name="Обычный 2 2 2 2" xfId="828"/>
    <cellStyle name="Обычный 2 2 20" xfId="829"/>
    <cellStyle name="Обычный 2 2 21" xfId="830"/>
    <cellStyle name="Обычный 2 2 22" xfId="831"/>
    <cellStyle name="Обычный 2 2 23" xfId="832"/>
    <cellStyle name="Обычный 2 2 24" xfId="833"/>
    <cellStyle name="Обычный 2 2 25" xfId="834"/>
    <cellStyle name="Обычный 2 2 26" xfId="835"/>
    <cellStyle name="Обычный 2 2 27" xfId="836"/>
    <cellStyle name="Обычный 2 2 28" xfId="837"/>
    <cellStyle name="Обычный 2 2 29" xfId="838"/>
    <cellStyle name="Обычный 2 2 3" xfId="839"/>
    <cellStyle name="Обычный 2 2 3 2" xfId="840"/>
    <cellStyle name="Обычный 2 2 3 3" xfId="841"/>
    <cellStyle name="Обычный 2 2 30" xfId="842"/>
    <cellStyle name="Обычный 2 2 31" xfId="843"/>
    <cellStyle name="Обычный 2 2 32" xfId="844"/>
    <cellStyle name="Обычный 2 2 33" xfId="845"/>
    <cellStyle name="Обычный 2 2 34" xfId="846"/>
    <cellStyle name="Обычный 2 2 35" xfId="847"/>
    <cellStyle name="Обычный 2 2 36" xfId="848"/>
    <cellStyle name="Обычный 2 2 37" xfId="849"/>
    <cellStyle name="Обычный 2 2 38" xfId="850"/>
    <cellStyle name="Обычный 2 2 39" xfId="851"/>
    <cellStyle name="Обычный 2 2 4" xfId="852"/>
    <cellStyle name="Обычный 2 2 40" xfId="853"/>
    <cellStyle name="Обычный 2 2 41" xfId="854"/>
    <cellStyle name="Обычный 2 2 42" xfId="855"/>
    <cellStyle name="Обычный 2 2 43" xfId="856"/>
    <cellStyle name="Обычный 2 2 44" xfId="857"/>
    <cellStyle name="Обычный 2 2 45" xfId="858"/>
    <cellStyle name="Обычный 2 2 46" xfId="859"/>
    <cellStyle name="Обычный 2 2 47" xfId="860"/>
    <cellStyle name="Обычный 2 2 48" xfId="861"/>
    <cellStyle name="Обычный 2 2 49" xfId="862"/>
    <cellStyle name="Обычный 2 2 5" xfId="863"/>
    <cellStyle name="Обычный 2 2 50" xfId="864"/>
    <cellStyle name="Обычный 2 2 51" xfId="865"/>
    <cellStyle name="Обычный 2 2 52" xfId="866"/>
    <cellStyle name="Обычный 2 2 53" xfId="867"/>
    <cellStyle name="Обычный 2 2 54" xfId="868"/>
    <cellStyle name="Обычный 2 2 55" xfId="869"/>
    <cellStyle name="Обычный 2 2 56" xfId="870"/>
    <cellStyle name="Обычный 2 2 57" xfId="871"/>
    <cellStyle name="Обычный 2 2 58" xfId="872"/>
    <cellStyle name="Обычный 2 2 59" xfId="873"/>
    <cellStyle name="Обычный 2 2 6" xfId="874"/>
    <cellStyle name="Обычный 2 2 60" xfId="875"/>
    <cellStyle name="Обычный 2 2 61" xfId="876"/>
    <cellStyle name="Обычный 2 2 62" xfId="877"/>
    <cellStyle name="Обычный 2 2 63" xfId="878"/>
    <cellStyle name="Обычный 2 2 64" xfId="879"/>
    <cellStyle name="Обычный 2 2 65" xfId="880"/>
    <cellStyle name="Обычный 2 2 66" xfId="881"/>
    <cellStyle name="Обычный 2 2 67" xfId="882"/>
    <cellStyle name="Обычный 2 2 68" xfId="883"/>
    <cellStyle name="Обычный 2 2 69" xfId="884"/>
    <cellStyle name="Обычный 2 2 7" xfId="885"/>
    <cellStyle name="Обычный 2 2 70" xfId="886"/>
    <cellStyle name="Обычный 2 2 71" xfId="887"/>
    <cellStyle name="Обычный 2 2 72" xfId="888"/>
    <cellStyle name="Обычный 2 2 73" xfId="889"/>
    <cellStyle name="Обычный 2 2 74" xfId="890"/>
    <cellStyle name="Обычный 2 2 75" xfId="891"/>
    <cellStyle name="Обычный 2 2 76" xfId="892"/>
    <cellStyle name="Обычный 2 2 77" xfId="893"/>
    <cellStyle name="Обычный 2 2 78" xfId="894"/>
    <cellStyle name="Обычный 2 2 79" xfId="895"/>
    <cellStyle name="Обычный 2 2 8" xfId="896"/>
    <cellStyle name="Обычный 2 2 80" xfId="897"/>
    <cellStyle name="Обычный 2 2 81" xfId="898"/>
    <cellStyle name="Обычный 2 2 82" xfId="899"/>
    <cellStyle name="Обычный 2 2 83" xfId="900"/>
    <cellStyle name="Обычный 2 2 84" xfId="901"/>
    <cellStyle name="Обычный 2 2 85" xfId="902"/>
    <cellStyle name="Обычный 2 2 86" xfId="903"/>
    <cellStyle name="Обычный 2 2 87" xfId="904"/>
    <cellStyle name="Обычный 2 2 88" xfId="905"/>
    <cellStyle name="Обычный 2 2 89" xfId="906"/>
    <cellStyle name="Обычный 2 2 9" xfId="907"/>
    <cellStyle name="Обычный 2 2 90" xfId="908"/>
    <cellStyle name="Обычный 2 2 91" xfId="909"/>
    <cellStyle name="Обычный 2 2 92" xfId="910"/>
    <cellStyle name="Обычный 2 2 93" xfId="911"/>
    <cellStyle name="Обычный 2 2 94" xfId="912"/>
    <cellStyle name="Обычный 2 2 95" xfId="913"/>
    <cellStyle name="Обычный 2 2 96" xfId="914"/>
    <cellStyle name="Обычный 2 2 97" xfId="915"/>
    <cellStyle name="Обычный 2 2 98" xfId="916"/>
    <cellStyle name="Обычный 2 2 99" xfId="917"/>
    <cellStyle name="Обычный 2 2_Баланс2012_15.06.11" xfId="918"/>
    <cellStyle name="Обычный 2 20" xfId="919"/>
    <cellStyle name="Обычный 2 21" xfId="920"/>
    <cellStyle name="Обычный 2 22" xfId="921"/>
    <cellStyle name="Обычный 2 23" xfId="922"/>
    <cellStyle name="Обычный 2 24" xfId="923"/>
    <cellStyle name="Обычный 2 25" xfId="924"/>
    <cellStyle name="Обычный 2 26" xfId="925"/>
    <cellStyle name="Обычный 2 27" xfId="926"/>
    <cellStyle name="Обычный 2 28" xfId="927"/>
    <cellStyle name="Обычный 2 29" xfId="928"/>
    <cellStyle name="Обычный 2 3" xfId="929"/>
    <cellStyle name="Обычный 2 3 2" xfId="930"/>
    <cellStyle name="Обычный 2 30" xfId="931"/>
    <cellStyle name="Обычный 2 31" xfId="932"/>
    <cellStyle name="Обычный 2 32" xfId="933"/>
    <cellStyle name="Обычный 2 33" xfId="934"/>
    <cellStyle name="Обычный 2 34" xfId="935"/>
    <cellStyle name="Обычный 2 35" xfId="936"/>
    <cellStyle name="Обычный 2 36" xfId="937"/>
    <cellStyle name="Обычный 2 37" xfId="938"/>
    <cellStyle name="Обычный 2 38" xfId="939"/>
    <cellStyle name="Обычный 2 39" xfId="940"/>
    <cellStyle name="Обычный 2 4" xfId="941"/>
    <cellStyle name="Обычный 2 4 2" xfId="942"/>
    <cellStyle name="Обычный 2 40" xfId="943"/>
    <cellStyle name="Обычный 2 41" xfId="944"/>
    <cellStyle name="Обычный 2 42" xfId="945"/>
    <cellStyle name="Обычный 2 43" xfId="946"/>
    <cellStyle name="Обычный 2 44" xfId="947"/>
    <cellStyle name="Обычный 2 45" xfId="948"/>
    <cellStyle name="Обычный 2 46" xfId="949"/>
    <cellStyle name="Обычный 2 47" xfId="950"/>
    <cellStyle name="Обычный 2 48" xfId="951"/>
    <cellStyle name="Обычный 2 49" xfId="952"/>
    <cellStyle name="Обычный 2 5" xfId="953"/>
    <cellStyle name="Обычный 2 50" xfId="954"/>
    <cellStyle name="Обычный 2 51" xfId="955"/>
    <cellStyle name="Обычный 2 52" xfId="956"/>
    <cellStyle name="Обычный 2 53" xfId="957"/>
    <cellStyle name="Обычный 2 54" xfId="958"/>
    <cellStyle name="Обычный 2 55" xfId="959"/>
    <cellStyle name="Обычный 2 56" xfId="960"/>
    <cellStyle name="Обычный 2 57" xfId="961"/>
    <cellStyle name="Обычный 2 58" xfId="962"/>
    <cellStyle name="Обычный 2 59" xfId="963"/>
    <cellStyle name="Обычный 2 6" xfId="964"/>
    <cellStyle name="Обычный 2 6 2" xfId="965"/>
    <cellStyle name="Обычный 2 60" xfId="966"/>
    <cellStyle name="Обычный 2 61" xfId="967"/>
    <cellStyle name="Обычный 2 62" xfId="968"/>
    <cellStyle name="Обычный 2 63" xfId="969"/>
    <cellStyle name="Обычный 2 64" xfId="970"/>
    <cellStyle name="Обычный 2 65" xfId="971"/>
    <cellStyle name="Обычный 2 66" xfId="972"/>
    <cellStyle name="Обычный 2 67" xfId="973"/>
    <cellStyle name="Обычный 2 68" xfId="974"/>
    <cellStyle name="Обычный 2 69" xfId="975"/>
    <cellStyle name="Обычный 2 7" xfId="976"/>
    <cellStyle name="Обычный 2 7 2" xfId="977"/>
    <cellStyle name="Обычный 2 70" xfId="978"/>
    <cellStyle name="Обычный 2 71" xfId="979"/>
    <cellStyle name="Обычный 2 72" xfId="980"/>
    <cellStyle name="Обычный 2 73" xfId="981"/>
    <cellStyle name="Обычный 2 74" xfId="982"/>
    <cellStyle name="Обычный 2 75" xfId="983"/>
    <cellStyle name="Обычный 2 76" xfId="984"/>
    <cellStyle name="Обычный 2 77" xfId="985"/>
    <cellStyle name="Обычный 2 78" xfId="986"/>
    <cellStyle name="Обычный 2 79" xfId="987"/>
    <cellStyle name="Обычный 2 8" xfId="988"/>
    <cellStyle name="Обычный 2 8 2" xfId="989"/>
    <cellStyle name="Обычный 2 80" xfId="990"/>
    <cellStyle name="Обычный 2 81" xfId="991"/>
    <cellStyle name="Обычный 2 82" xfId="992"/>
    <cellStyle name="Обычный 2 83" xfId="993"/>
    <cellStyle name="Обычный 2 84" xfId="994"/>
    <cellStyle name="Обычный 2 85" xfId="995"/>
    <cellStyle name="Обычный 2 86" xfId="996"/>
    <cellStyle name="Обычный 2 87" xfId="997"/>
    <cellStyle name="Обычный 2 88" xfId="998"/>
    <cellStyle name="Обычный 2 89" xfId="999"/>
    <cellStyle name="Обычный 2 9" xfId="1000"/>
    <cellStyle name="Обычный 2 9 2" xfId="1001"/>
    <cellStyle name="Обычный 2 90" xfId="1002"/>
    <cellStyle name="Обычный 2 91" xfId="1003"/>
    <cellStyle name="Обычный 2 92" xfId="1004"/>
    <cellStyle name="Обычный 2 93" xfId="1005"/>
    <cellStyle name="Обычный 2 94" xfId="1006"/>
    <cellStyle name="Обычный 2 95" xfId="1007"/>
    <cellStyle name="Обычный 2 96" xfId="1008"/>
    <cellStyle name="Обычный 2 97" xfId="1009"/>
    <cellStyle name="Обычный 2 98" xfId="1010"/>
    <cellStyle name="Обычный 2 99" xfId="1011"/>
    <cellStyle name="Обычный 2_AP RAB 36" xfId="1012"/>
    <cellStyle name="Обычный 3" xfId="1013"/>
    <cellStyle name="Обычный 3 10" xfId="1014"/>
    <cellStyle name="Обычный 3 10 10" xfId="1015"/>
    <cellStyle name="Обычный 3 10 11" xfId="1016"/>
    <cellStyle name="Обычный 3 10 12" xfId="1017"/>
    <cellStyle name="Обычный 3 10 13" xfId="1018"/>
    <cellStyle name="Обычный 3 10 14" xfId="1019"/>
    <cellStyle name="Обычный 3 10 15" xfId="1020"/>
    <cellStyle name="Обычный 3 10 16" xfId="1021"/>
    <cellStyle name="Обычный 3 10 2" xfId="1022"/>
    <cellStyle name="Обычный 3 10 3" xfId="1023"/>
    <cellStyle name="Обычный 3 10 4" xfId="1024"/>
    <cellStyle name="Обычный 3 10 5" xfId="1025"/>
    <cellStyle name="Обычный 3 10 6" xfId="1026"/>
    <cellStyle name="Обычный 3 10 7" xfId="1027"/>
    <cellStyle name="Обычный 3 10 8" xfId="1028"/>
    <cellStyle name="Обычный 3 10 9" xfId="1029"/>
    <cellStyle name="Обычный 3 11" xfId="1030"/>
    <cellStyle name="Обычный 3 11 10" xfId="1031"/>
    <cellStyle name="Обычный 3 11 11" xfId="1032"/>
    <cellStyle name="Обычный 3 11 12" xfId="1033"/>
    <cellStyle name="Обычный 3 11 13" xfId="1034"/>
    <cellStyle name="Обычный 3 11 14" xfId="1035"/>
    <cellStyle name="Обычный 3 11 15" xfId="1036"/>
    <cellStyle name="Обычный 3 11 16" xfId="1037"/>
    <cellStyle name="Обычный 3 11 2" xfId="1038"/>
    <cellStyle name="Обычный 3 11 3" xfId="1039"/>
    <cellStyle name="Обычный 3 11 4" xfId="1040"/>
    <cellStyle name="Обычный 3 11 5" xfId="1041"/>
    <cellStyle name="Обычный 3 11 6" xfId="1042"/>
    <cellStyle name="Обычный 3 11 7" xfId="1043"/>
    <cellStyle name="Обычный 3 11 8" xfId="1044"/>
    <cellStyle name="Обычный 3 11 9" xfId="1045"/>
    <cellStyle name="Обычный 3 12" xfId="1046"/>
    <cellStyle name="Обычный 3 12 10" xfId="1047"/>
    <cellStyle name="Обычный 3 12 11" xfId="1048"/>
    <cellStyle name="Обычный 3 12 12" xfId="1049"/>
    <cellStyle name="Обычный 3 12 13" xfId="1050"/>
    <cellStyle name="Обычный 3 12 14" xfId="1051"/>
    <cellStyle name="Обычный 3 12 15" xfId="1052"/>
    <cellStyle name="Обычный 3 12 16" xfId="1053"/>
    <cellStyle name="Обычный 3 12 2" xfId="1054"/>
    <cellStyle name="Обычный 3 12 3" xfId="1055"/>
    <cellStyle name="Обычный 3 12 4" xfId="1056"/>
    <cellStyle name="Обычный 3 12 5" xfId="1057"/>
    <cellStyle name="Обычный 3 12 6" xfId="1058"/>
    <cellStyle name="Обычный 3 12 7" xfId="1059"/>
    <cellStyle name="Обычный 3 12 8" xfId="1060"/>
    <cellStyle name="Обычный 3 12 9" xfId="1061"/>
    <cellStyle name="Обычный 3 13" xfId="1062"/>
    <cellStyle name="Обычный 3 13 10" xfId="1063"/>
    <cellStyle name="Обычный 3 13 11" xfId="1064"/>
    <cellStyle name="Обычный 3 13 12" xfId="1065"/>
    <cellStyle name="Обычный 3 13 13" xfId="1066"/>
    <cellStyle name="Обычный 3 13 14" xfId="1067"/>
    <cellStyle name="Обычный 3 13 15" xfId="1068"/>
    <cellStyle name="Обычный 3 13 16" xfId="1069"/>
    <cellStyle name="Обычный 3 13 2" xfId="1070"/>
    <cellStyle name="Обычный 3 13 3" xfId="1071"/>
    <cellStyle name="Обычный 3 13 4" xfId="1072"/>
    <cellStyle name="Обычный 3 13 5" xfId="1073"/>
    <cellStyle name="Обычный 3 13 6" xfId="1074"/>
    <cellStyle name="Обычный 3 13 7" xfId="1075"/>
    <cellStyle name="Обычный 3 13 8" xfId="1076"/>
    <cellStyle name="Обычный 3 13 9" xfId="1077"/>
    <cellStyle name="Обычный 3 14" xfId="1078"/>
    <cellStyle name="Обычный 3 14 10" xfId="1079"/>
    <cellStyle name="Обычный 3 14 11" xfId="1080"/>
    <cellStyle name="Обычный 3 14 12" xfId="1081"/>
    <cellStyle name="Обычный 3 14 13" xfId="1082"/>
    <cellStyle name="Обычный 3 14 14" xfId="1083"/>
    <cellStyle name="Обычный 3 14 15" xfId="1084"/>
    <cellStyle name="Обычный 3 14 16" xfId="1085"/>
    <cellStyle name="Обычный 3 14 2" xfId="1086"/>
    <cellStyle name="Обычный 3 14 3" xfId="1087"/>
    <cellStyle name="Обычный 3 14 4" xfId="1088"/>
    <cellStyle name="Обычный 3 14 5" xfId="1089"/>
    <cellStyle name="Обычный 3 14 6" xfId="1090"/>
    <cellStyle name="Обычный 3 14 7" xfId="1091"/>
    <cellStyle name="Обычный 3 14 8" xfId="1092"/>
    <cellStyle name="Обычный 3 14 9" xfId="1093"/>
    <cellStyle name="Обычный 3 15" xfId="1094"/>
    <cellStyle name="Обычный 3 16" xfId="1095"/>
    <cellStyle name="Обычный 3 17" xfId="1096"/>
    <cellStyle name="Обычный 3 18" xfId="1097"/>
    <cellStyle name="Обычный 3 19" xfId="1098"/>
    <cellStyle name="Обычный 3 2" xfId="1099"/>
    <cellStyle name="Обычный 3 2 2" xfId="1100"/>
    <cellStyle name="Обычный 3 20" xfId="1101"/>
    <cellStyle name="Обычный 3 21" xfId="1102"/>
    <cellStyle name="Обычный 3 22" xfId="1103"/>
    <cellStyle name="Обычный 3 23" xfId="1104"/>
    <cellStyle name="Обычный 3 24" xfId="1105"/>
    <cellStyle name="Обычный 3 25" xfId="1106"/>
    <cellStyle name="Обычный 3 26" xfId="1107"/>
    <cellStyle name="Обычный 3 27" xfId="1108"/>
    <cellStyle name="Обычный 3 28" xfId="1109"/>
    <cellStyle name="Обычный 3 29" xfId="1110"/>
    <cellStyle name="Обычный 3 3" xfId="1111"/>
    <cellStyle name="Обычный 3 3 10" xfId="1112"/>
    <cellStyle name="Обычный 3 3 10 10" xfId="1113"/>
    <cellStyle name="Обычный 3 3 10 11" xfId="1114"/>
    <cellStyle name="Обычный 3 3 10 12" xfId="1115"/>
    <cellStyle name="Обычный 3 3 10 13" xfId="1116"/>
    <cellStyle name="Обычный 3 3 10 14" xfId="1117"/>
    <cellStyle name="Обычный 3 3 10 15" xfId="1118"/>
    <cellStyle name="Обычный 3 3 10 16" xfId="1119"/>
    <cellStyle name="Обычный 3 3 10 2" xfId="1120"/>
    <cellStyle name="Обычный 3 3 10 3" xfId="1121"/>
    <cellStyle name="Обычный 3 3 10 4" xfId="1122"/>
    <cellStyle name="Обычный 3 3 10 5" xfId="1123"/>
    <cellStyle name="Обычный 3 3 10 6" xfId="1124"/>
    <cellStyle name="Обычный 3 3 10 7" xfId="1125"/>
    <cellStyle name="Обычный 3 3 10 8" xfId="1126"/>
    <cellStyle name="Обычный 3 3 10 9" xfId="1127"/>
    <cellStyle name="Обычный 3 3 11" xfId="1128"/>
    <cellStyle name="Обычный 3 3 11 10" xfId="1129"/>
    <cellStyle name="Обычный 3 3 11 11" xfId="1130"/>
    <cellStyle name="Обычный 3 3 11 12" xfId="1131"/>
    <cellStyle name="Обычный 3 3 11 13" xfId="1132"/>
    <cellStyle name="Обычный 3 3 11 14" xfId="1133"/>
    <cellStyle name="Обычный 3 3 11 15" xfId="1134"/>
    <cellStyle name="Обычный 3 3 11 16" xfId="1135"/>
    <cellStyle name="Обычный 3 3 11 2" xfId="1136"/>
    <cellStyle name="Обычный 3 3 11 3" xfId="1137"/>
    <cellStyle name="Обычный 3 3 11 4" xfId="1138"/>
    <cellStyle name="Обычный 3 3 11 5" xfId="1139"/>
    <cellStyle name="Обычный 3 3 11 6" xfId="1140"/>
    <cellStyle name="Обычный 3 3 11 7" xfId="1141"/>
    <cellStyle name="Обычный 3 3 11 8" xfId="1142"/>
    <cellStyle name="Обычный 3 3 11 9" xfId="1143"/>
    <cellStyle name="Обычный 3 3 12" xfId="1144"/>
    <cellStyle name="Обычный 3 3 13" xfId="1145"/>
    <cellStyle name="Обычный 3 3 14" xfId="1146"/>
    <cellStyle name="Обычный 3 3 15" xfId="1147"/>
    <cellStyle name="Обычный 3 3 16" xfId="1148"/>
    <cellStyle name="Обычный 3 3 17" xfId="1149"/>
    <cellStyle name="Обычный 3 3 18" xfId="1150"/>
    <cellStyle name="Обычный 3 3 19" xfId="1151"/>
    <cellStyle name="Обычный 3 3 2" xfId="1152"/>
    <cellStyle name="Обычный 3 3 2 10" xfId="1153"/>
    <cellStyle name="Обычный 3 3 2 11" xfId="1154"/>
    <cellStyle name="Обычный 3 3 2 12" xfId="1155"/>
    <cellStyle name="Обычный 3 3 2 13" xfId="1156"/>
    <cellStyle name="Обычный 3 3 2 14" xfId="1157"/>
    <cellStyle name="Обычный 3 3 2 15" xfId="1158"/>
    <cellStyle name="Обычный 3 3 2 16" xfId="1159"/>
    <cellStyle name="Обычный 3 3 2 17" xfId="1160"/>
    <cellStyle name="Обычный 3 3 2 18" xfId="1161"/>
    <cellStyle name="Обычный 3 3 2 19" xfId="1162"/>
    <cellStyle name="Обычный 3 3 2 2" xfId="1163"/>
    <cellStyle name="Обычный 3 3 2 2 10" xfId="1164"/>
    <cellStyle name="Обычный 3 3 2 2 11" xfId="1165"/>
    <cellStyle name="Обычный 3 3 2 2 12" xfId="1166"/>
    <cellStyle name="Обычный 3 3 2 2 13" xfId="1167"/>
    <cellStyle name="Обычный 3 3 2 2 14" xfId="1168"/>
    <cellStyle name="Обычный 3 3 2 2 15" xfId="1169"/>
    <cellStyle name="Обычный 3 3 2 2 16" xfId="1170"/>
    <cellStyle name="Обычный 3 3 2 2 2" xfId="1171"/>
    <cellStyle name="Обычный 3 3 2 2 3" xfId="1172"/>
    <cellStyle name="Обычный 3 3 2 2 4" xfId="1173"/>
    <cellStyle name="Обычный 3 3 2 2 5" xfId="1174"/>
    <cellStyle name="Обычный 3 3 2 2 6" xfId="1175"/>
    <cellStyle name="Обычный 3 3 2 2 7" xfId="1176"/>
    <cellStyle name="Обычный 3 3 2 2 8" xfId="1177"/>
    <cellStyle name="Обычный 3 3 2 2 9" xfId="1178"/>
    <cellStyle name="Обычный 3 3 2 20" xfId="1179"/>
    <cellStyle name="Обычный 3 3 2 21" xfId="1180"/>
    <cellStyle name="Обычный 3 3 2 22" xfId="1181"/>
    <cellStyle name="Обычный 3 3 2 23" xfId="1182"/>
    <cellStyle name="Обычный 3 3 2 24" xfId="1183"/>
    <cellStyle name="Обычный 3 3 2 25" xfId="1184"/>
    <cellStyle name="Обычный 3 3 2 3" xfId="1185"/>
    <cellStyle name="Обычный 3 3 2 3 10" xfId="1186"/>
    <cellStyle name="Обычный 3 3 2 3 11" xfId="1187"/>
    <cellStyle name="Обычный 3 3 2 3 12" xfId="1188"/>
    <cellStyle name="Обычный 3 3 2 3 13" xfId="1189"/>
    <cellStyle name="Обычный 3 3 2 3 14" xfId="1190"/>
    <cellStyle name="Обычный 3 3 2 3 15" xfId="1191"/>
    <cellStyle name="Обычный 3 3 2 3 16" xfId="1192"/>
    <cellStyle name="Обычный 3 3 2 3 2" xfId="1193"/>
    <cellStyle name="Обычный 3 3 2 3 3" xfId="1194"/>
    <cellStyle name="Обычный 3 3 2 3 4" xfId="1195"/>
    <cellStyle name="Обычный 3 3 2 3 5" xfId="1196"/>
    <cellStyle name="Обычный 3 3 2 3 6" xfId="1197"/>
    <cellStyle name="Обычный 3 3 2 3 7" xfId="1198"/>
    <cellStyle name="Обычный 3 3 2 3 8" xfId="1199"/>
    <cellStyle name="Обычный 3 3 2 3 9" xfId="1200"/>
    <cellStyle name="Обычный 3 3 2 4" xfId="1201"/>
    <cellStyle name="Обычный 3 3 2 4 10" xfId="1202"/>
    <cellStyle name="Обычный 3 3 2 4 11" xfId="1203"/>
    <cellStyle name="Обычный 3 3 2 4 12" xfId="1204"/>
    <cellStyle name="Обычный 3 3 2 4 13" xfId="1205"/>
    <cellStyle name="Обычный 3 3 2 4 14" xfId="1206"/>
    <cellStyle name="Обычный 3 3 2 4 15" xfId="1207"/>
    <cellStyle name="Обычный 3 3 2 4 16" xfId="1208"/>
    <cellStyle name="Обычный 3 3 2 4 2" xfId="1209"/>
    <cellStyle name="Обычный 3 3 2 4 3" xfId="1210"/>
    <cellStyle name="Обычный 3 3 2 4 4" xfId="1211"/>
    <cellStyle name="Обычный 3 3 2 4 5" xfId="1212"/>
    <cellStyle name="Обычный 3 3 2 4 6" xfId="1213"/>
    <cellStyle name="Обычный 3 3 2 4 7" xfId="1214"/>
    <cellStyle name="Обычный 3 3 2 4 8" xfId="1215"/>
    <cellStyle name="Обычный 3 3 2 4 9" xfId="1216"/>
    <cellStyle name="Обычный 3 3 2 5" xfId="1217"/>
    <cellStyle name="Обычный 3 3 2 5 10" xfId="1218"/>
    <cellStyle name="Обычный 3 3 2 5 11" xfId="1219"/>
    <cellStyle name="Обычный 3 3 2 5 12" xfId="1220"/>
    <cellStyle name="Обычный 3 3 2 5 13" xfId="1221"/>
    <cellStyle name="Обычный 3 3 2 5 14" xfId="1222"/>
    <cellStyle name="Обычный 3 3 2 5 15" xfId="1223"/>
    <cellStyle name="Обычный 3 3 2 5 16" xfId="1224"/>
    <cellStyle name="Обычный 3 3 2 5 2" xfId="1225"/>
    <cellStyle name="Обычный 3 3 2 5 3" xfId="1226"/>
    <cellStyle name="Обычный 3 3 2 5 4" xfId="1227"/>
    <cellStyle name="Обычный 3 3 2 5 5" xfId="1228"/>
    <cellStyle name="Обычный 3 3 2 5 6" xfId="1229"/>
    <cellStyle name="Обычный 3 3 2 5 7" xfId="1230"/>
    <cellStyle name="Обычный 3 3 2 5 8" xfId="1231"/>
    <cellStyle name="Обычный 3 3 2 5 9" xfId="1232"/>
    <cellStyle name="Обычный 3 3 2 6" xfId="1233"/>
    <cellStyle name="Обычный 3 3 2 6 10" xfId="1234"/>
    <cellStyle name="Обычный 3 3 2 6 11" xfId="1235"/>
    <cellStyle name="Обычный 3 3 2 6 12" xfId="1236"/>
    <cellStyle name="Обычный 3 3 2 6 13" xfId="1237"/>
    <cellStyle name="Обычный 3 3 2 6 14" xfId="1238"/>
    <cellStyle name="Обычный 3 3 2 6 15" xfId="1239"/>
    <cellStyle name="Обычный 3 3 2 6 16" xfId="1240"/>
    <cellStyle name="Обычный 3 3 2 6 2" xfId="1241"/>
    <cellStyle name="Обычный 3 3 2 6 3" xfId="1242"/>
    <cellStyle name="Обычный 3 3 2 6 4" xfId="1243"/>
    <cellStyle name="Обычный 3 3 2 6 5" xfId="1244"/>
    <cellStyle name="Обычный 3 3 2 6 6" xfId="1245"/>
    <cellStyle name="Обычный 3 3 2 6 7" xfId="1246"/>
    <cellStyle name="Обычный 3 3 2 6 8" xfId="1247"/>
    <cellStyle name="Обычный 3 3 2 6 9" xfId="1248"/>
    <cellStyle name="Обычный 3 3 2 7" xfId="1249"/>
    <cellStyle name="Обычный 3 3 2 7 10" xfId="1250"/>
    <cellStyle name="Обычный 3 3 2 7 11" xfId="1251"/>
    <cellStyle name="Обычный 3 3 2 7 12" xfId="1252"/>
    <cellStyle name="Обычный 3 3 2 7 13" xfId="1253"/>
    <cellStyle name="Обычный 3 3 2 7 14" xfId="1254"/>
    <cellStyle name="Обычный 3 3 2 7 15" xfId="1255"/>
    <cellStyle name="Обычный 3 3 2 7 16" xfId="1256"/>
    <cellStyle name="Обычный 3 3 2 7 2" xfId="1257"/>
    <cellStyle name="Обычный 3 3 2 7 3" xfId="1258"/>
    <cellStyle name="Обычный 3 3 2 7 4" xfId="1259"/>
    <cellStyle name="Обычный 3 3 2 7 5" xfId="1260"/>
    <cellStyle name="Обычный 3 3 2 7 6" xfId="1261"/>
    <cellStyle name="Обычный 3 3 2 7 7" xfId="1262"/>
    <cellStyle name="Обычный 3 3 2 7 8" xfId="1263"/>
    <cellStyle name="Обычный 3 3 2 7 9" xfId="1264"/>
    <cellStyle name="Обычный 3 3 2 8" xfId="1265"/>
    <cellStyle name="Обычный 3 3 2 8 10" xfId="1266"/>
    <cellStyle name="Обычный 3 3 2 8 11" xfId="1267"/>
    <cellStyle name="Обычный 3 3 2 8 12" xfId="1268"/>
    <cellStyle name="Обычный 3 3 2 8 13" xfId="1269"/>
    <cellStyle name="Обычный 3 3 2 8 14" xfId="1270"/>
    <cellStyle name="Обычный 3 3 2 8 15" xfId="1271"/>
    <cellStyle name="Обычный 3 3 2 8 16" xfId="1272"/>
    <cellStyle name="Обычный 3 3 2 8 2" xfId="1273"/>
    <cellStyle name="Обычный 3 3 2 8 3" xfId="1274"/>
    <cellStyle name="Обычный 3 3 2 8 4" xfId="1275"/>
    <cellStyle name="Обычный 3 3 2 8 5" xfId="1276"/>
    <cellStyle name="Обычный 3 3 2 8 6" xfId="1277"/>
    <cellStyle name="Обычный 3 3 2 8 7" xfId="1278"/>
    <cellStyle name="Обычный 3 3 2 8 8" xfId="1279"/>
    <cellStyle name="Обычный 3 3 2 8 9" xfId="1280"/>
    <cellStyle name="Обычный 3 3 2 9" xfId="1281"/>
    <cellStyle name="Обычный 3 3 20" xfId="1282"/>
    <cellStyle name="Обычный 3 3 21" xfId="1283"/>
    <cellStyle name="Обычный 3 3 22" xfId="1284"/>
    <cellStyle name="Обычный 3 3 23" xfId="1285"/>
    <cellStyle name="Обычный 3 3 24" xfId="1286"/>
    <cellStyle name="Обычный 3 3 25" xfId="1287"/>
    <cellStyle name="Обычный 3 3 26" xfId="1288"/>
    <cellStyle name="Обычный 3 3 27" xfId="1289"/>
    <cellStyle name="Обычный 3 3 28" xfId="1290"/>
    <cellStyle name="Обычный 3 3 29" xfId="1291"/>
    <cellStyle name="Обычный 3 3 3" xfId="1292"/>
    <cellStyle name="Обычный 3 3 3 10" xfId="1293"/>
    <cellStyle name="Обычный 3 3 3 11" xfId="1294"/>
    <cellStyle name="Обычный 3 3 3 12" xfId="1295"/>
    <cellStyle name="Обычный 3 3 3 13" xfId="1296"/>
    <cellStyle name="Обычный 3 3 3 14" xfId="1297"/>
    <cellStyle name="Обычный 3 3 3 15" xfId="1298"/>
    <cellStyle name="Обычный 3 3 3 16" xfId="1299"/>
    <cellStyle name="Обычный 3 3 3 17" xfId="1300"/>
    <cellStyle name="Обычный 3 3 3 18" xfId="1301"/>
    <cellStyle name="Обычный 3 3 3 19" xfId="1302"/>
    <cellStyle name="Обычный 3 3 3 2" xfId="1303"/>
    <cellStyle name="Обычный 3 3 3 2 10" xfId="1304"/>
    <cellStyle name="Обычный 3 3 3 2 11" xfId="1305"/>
    <cellStyle name="Обычный 3 3 3 2 12" xfId="1306"/>
    <cellStyle name="Обычный 3 3 3 2 13" xfId="1307"/>
    <cellStyle name="Обычный 3 3 3 2 14" xfId="1308"/>
    <cellStyle name="Обычный 3 3 3 2 15" xfId="1309"/>
    <cellStyle name="Обычный 3 3 3 2 16" xfId="1310"/>
    <cellStyle name="Обычный 3 3 3 2 2" xfId="1311"/>
    <cellStyle name="Обычный 3 3 3 2 3" xfId="1312"/>
    <cellStyle name="Обычный 3 3 3 2 4" xfId="1313"/>
    <cellStyle name="Обычный 3 3 3 2 5" xfId="1314"/>
    <cellStyle name="Обычный 3 3 3 2 6" xfId="1315"/>
    <cellStyle name="Обычный 3 3 3 2 7" xfId="1316"/>
    <cellStyle name="Обычный 3 3 3 2 8" xfId="1317"/>
    <cellStyle name="Обычный 3 3 3 2 9" xfId="1318"/>
    <cellStyle name="Обычный 3 3 3 20" xfId="1319"/>
    <cellStyle name="Обычный 3 3 3 21" xfId="1320"/>
    <cellStyle name="Обычный 3 3 3 22" xfId="1321"/>
    <cellStyle name="Обычный 3 3 3 23" xfId="1322"/>
    <cellStyle name="Обычный 3 3 3 24" xfId="1323"/>
    <cellStyle name="Обычный 3 3 3 25" xfId="1324"/>
    <cellStyle name="Обычный 3 3 3 3" xfId="1325"/>
    <cellStyle name="Обычный 3 3 3 3 10" xfId="1326"/>
    <cellStyle name="Обычный 3 3 3 3 11" xfId="1327"/>
    <cellStyle name="Обычный 3 3 3 3 12" xfId="1328"/>
    <cellStyle name="Обычный 3 3 3 3 13" xfId="1329"/>
    <cellStyle name="Обычный 3 3 3 3 14" xfId="1330"/>
    <cellStyle name="Обычный 3 3 3 3 15" xfId="1331"/>
    <cellStyle name="Обычный 3 3 3 3 16" xfId="1332"/>
    <cellStyle name="Обычный 3 3 3 3 2" xfId="1333"/>
    <cellStyle name="Обычный 3 3 3 3 3" xfId="1334"/>
    <cellStyle name="Обычный 3 3 3 3 4" xfId="1335"/>
    <cellStyle name="Обычный 3 3 3 3 5" xfId="1336"/>
    <cellStyle name="Обычный 3 3 3 3 6" xfId="1337"/>
    <cellStyle name="Обычный 3 3 3 3 7" xfId="1338"/>
    <cellStyle name="Обычный 3 3 3 3 8" xfId="1339"/>
    <cellStyle name="Обычный 3 3 3 3 9" xfId="1340"/>
    <cellStyle name="Обычный 3 3 3 4" xfId="1341"/>
    <cellStyle name="Обычный 3 3 3 4 10" xfId="1342"/>
    <cellStyle name="Обычный 3 3 3 4 11" xfId="1343"/>
    <cellStyle name="Обычный 3 3 3 4 12" xfId="1344"/>
    <cellStyle name="Обычный 3 3 3 4 13" xfId="1345"/>
    <cellStyle name="Обычный 3 3 3 4 14" xfId="1346"/>
    <cellStyle name="Обычный 3 3 3 4 15" xfId="1347"/>
    <cellStyle name="Обычный 3 3 3 4 16" xfId="1348"/>
    <cellStyle name="Обычный 3 3 3 4 2" xfId="1349"/>
    <cellStyle name="Обычный 3 3 3 4 3" xfId="1350"/>
    <cellStyle name="Обычный 3 3 3 4 4" xfId="1351"/>
    <cellStyle name="Обычный 3 3 3 4 5" xfId="1352"/>
    <cellStyle name="Обычный 3 3 3 4 6" xfId="1353"/>
    <cellStyle name="Обычный 3 3 3 4 7" xfId="1354"/>
    <cellStyle name="Обычный 3 3 3 4 8" xfId="1355"/>
    <cellStyle name="Обычный 3 3 3 4 9" xfId="1356"/>
    <cellStyle name="Обычный 3 3 3 5" xfId="1357"/>
    <cellStyle name="Обычный 3 3 3 5 10" xfId="1358"/>
    <cellStyle name="Обычный 3 3 3 5 11" xfId="1359"/>
    <cellStyle name="Обычный 3 3 3 5 12" xfId="1360"/>
    <cellStyle name="Обычный 3 3 3 5 13" xfId="1361"/>
    <cellStyle name="Обычный 3 3 3 5 14" xfId="1362"/>
    <cellStyle name="Обычный 3 3 3 5 15" xfId="1363"/>
    <cellStyle name="Обычный 3 3 3 5 16" xfId="1364"/>
    <cellStyle name="Обычный 3 3 3 5 2" xfId="1365"/>
    <cellStyle name="Обычный 3 3 3 5 3" xfId="1366"/>
    <cellStyle name="Обычный 3 3 3 5 4" xfId="1367"/>
    <cellStyle name="Обычный 3 3 3 5 5" xfId="1368"/>
    <cellStyle name="Обычный 3 3 3 5 6" xfId="1369"/>
    <cellStyle name="Обычный 3 3 3 5 7" xfId="1370"/>
    <cellStyle name="Обычный 3 3 3 5 8" xfId="1371"/>
    <cellStyle name="Обычный 3 3 3 5 9" xfId="1372"/>
    <cellStyle name="Обычный 3 3 3 6" xfId="1373"/>
    <cellStyle name="Обычный 3 3 3 6 10" xfId="1374"/>
    <cellStyle name="Обычный 3 3 3 6 11" xfId="1375"/>
    <cellStyle name="Обычный 3 3 3 6 12" xfId="1376"/>
    <cellStyle name="Обычный 3 3 3 6 13" xfId="1377"/>
    <cellStyle name="Обычный 3 3 3 6 14" xfId="1378"/>
    <cellStyle name="Обычный 3 3 3 6 15" xfId="1379"/>
    <cellStyle name="Обычный 3 3 3 6 16" xfId="1380"/>
    <cellStyle name="Обычный 3 3 3 6 2" xfId="1381"/>
    <cellStyle name="Обычный 3 3 3 6 3" xfId="1382"/>
    <cellStyle name="Обычный 3 3 3 6 4" xfId="1383"/>
    <cellStyle name="Обычный 3 3 3 6 5" xfId="1384"/>
    <cellStyle name="Обычный 3 3 3 6 6" xfId="1385"/>
    <cellStyle name="Обычный 3 3 3 6 7" xfId="1386"/>
    <cellStyle name="Обычный 3 3 3 6 8" xfId="1387"/>
    <cellStyle name="Обычный 3 3 3 6 9" xfId="1388"/>
    <cellStyle name="Обычный 3 3 3 7" xfId="1389"/>
    <cellStyle name="Обычный 3 3 3 7 10" xfId="1390"/>
    <cellStyle name="Обычный 3 3 3 7 11" xfId="1391"/>
    <cellStyle name="Обычный 3 3 3 7 12" xfId="1392"/>
    <cellStyle name="Обычный 3 3 3 7 13" xfId="1393"/>
    <cellStyle name="Обычный 3 3 3 7 14" xfId="1394"/>
    <cellStyle name="Обычный 3 3 3 7 15" xfId="1395"/>
    <cellStyle name="Обычный 3 3 3 7 16" xfId="1396"/>
    <cellStyle name="Обычный 3 3 3 7 2" xfId="1397"/>
    <cellStyle name="Обычный 3 3 3 7 3" xfId="1398"/>
    <cellStyle name="Обычный 3 3 3 7 4" xfId="1399"/>
    <cellStyle name="Обычный 3 3 3 7 5" xfId="1400"/>
    <cellStyle name="Обычный 3 3 3 7 6" xfId="1401"/>
    <cellStyle name="Обычный 3 3 3 7 7" xfId="1402"/>
    <cellStyle name="Обычный 3 3 3 7 8" xfId="1403"/>
    <cellStyle name="Обычный 3 3 3 7 9" xfId="1404"/>
    <cellStyle name="Обычный 3 3 3 8" xfId="1405"/>
    <cellStyle name="Обычный 3 3 3 8 10" xfId="1406"/>
    <cellStyle name="Обычный 3 3 3 8 11" xfId="1407"/>
    <cellStyle name="Обычный 3 3 3 8 12" xfId="1408"/>
    <cellStyle name="Обычный 3 3 3 8 13" xfId="1409"/>
    <cellStyle name="Обычный 3 3 3 8 14" xfId="1410"/>
    <cellStyle name="Обычный 3 3 3 8 15" xfId="1411"/>
    <cellStyle name="Обычный 3 3 3 8 16" xfId="1412"/>
    <cellStyle name="Обычный 3 3 3 8 2" xfId="1413"/>
    <cellStyle name="Обычный 3 3 3 8 3" xfId="1414"/>
    <cellStyle name="Обычный 3 3 3 8 4" xfId="1415"/>
    <cellStyle name="Обычный 3 3 3 8 5" xfId="1416"/>
    <cellStyle name="Обычный 3 3 3 8 6" xfId="1417"/>
    <cellStyle name="Обычный 3 3 3 8 7" xfId="1418"/>
    <cellStyle name="Обычный 3 3 3 8 8" xfId="1419"/>
    <cellStyle name="Обычный 3 3 3 8 9" xfId="1420"/>
    <cellStyle name="Обычный 3 3 3 9" xfId="1421"/>
    <cellStyle name="Обычный 3 3 4" xfId="1422"/>
    <cellStyle name="Обычный 3 3 4 10" xfId="1423"/>
    <cellStyle name="Обычный 3 3 4 11" xfId="1424"/>
    <cellStyle name="Обычный 3 3 4 12" xfId="1425"/>
    <cellStyle name="Обычный 3 3 4 13" xfId="1426"/>
    <cellStyle name="Обычный 3 3 4 14" xfId="1427"/>
    <cellStyle name="Обычный 3 3 4 15" xfId="1428"/>
    <cellStyle name="Обычный 3 3 4 16" xfId="1429"/>
    <cellStyle name="Обычный 3 3 4 17" xfId="1430"/>
    <cellStyle name="Обычный 3 3 4 18" xfId="1431"/>
    <cellStyle name="Обычный 3 3 4 19" xfId="1432"/>
    <cellStyle name="Обычный 3 3 4 2" xfId="1433"/>
    <cellStyle name="Обычный 3 3 4 2 10" xfId="1434"/>
    <cellStyle name="Обычный 3 3 4 2 11" xfId="1435"/>
    <cellStyle name="Обычный 3 3 4 2 12" xfId="1436"/>
    <cellStyle name="Обычный 3 3 4 2 13" xfId="1437"/>
    <cellStyle name="Обычный 3 3 4 2 14" xfId="1438"/>
    <cellStyle name="Обычный 3 3 4 2 15" xfId="1439"/>
    <cellStyle name="Обычный 3 3 4 2 16" xfId="1440"/>
    <cellStyle name="Обычный 3 3 4 2 2" xfId="1441"/>
    <cellStyle name="Обычный 3 3 4 2 3" xfId="1442"/>
    <cellStyle name="Обычный 3 3 4 2 4" xfId="1443"/>
    <cellStyle name="Обычный 3 3 4 2 5" xfId="1444"/>
    <cellStyle name="Обычный 3 3 4 2 6" xfId="1445"/>
    <cellStyle name="Обычный 3 3 4 2 7" xfId="1446"/>
    <cellStyle name="Обычный 3 3 4 2 8" xfId="1447"/>
    <cellStyle name="Обычный 3 3 4 2 9" xfId="1448"/>
    <cellStyle name="Обычный 3 3 4 20" xfId="1449"/>
    <cellStyle name="Обычный 3 3 4 21" xfId="1450"/>
    <cellStyle name="Обычный 3 3 4 22" xfId="1451"/>
    <cellStyle name="Обычный 3 3 4 23" xfId="1452"/>
    <cellStyle name="Обычный 3 3 4 24" xfId="1453"/>
    <cellStyle name="Обычный 3 3 4 25" xfId="1454"/>
    <cellStyle name="Обычный 3 3 4 3" xfId="1455"/>
    <cellStyle name="Обычный 3 3 4 3 10" xfId="1456"/>
    <cellStyle name="Обычный 3 3 4 3 11" xfId="1457"/>
    <cellStyle name="Обычный 3 3 4 3 12" xfId="1458"/>
    <cellStyle name="Обычный 3 3 4 3 13" xfId="1459"/>
    <cellStyle name="Обычный 3 3 4 3 14" xfId="1460"/>
    <cellStyle name="Обычный 3 3 4 3 15" xfId="1461"/>
    <cellStyle name="Обычный 3 3 4 3 16" xfId="1462"/>
    <cellStyle name="Обычный 3 3 4 3 2" xfId="1463"/>
    <cellStyle name="Обычный 3 3 4 3 3" xfId="1464"/>
    <cellStyle name="Обычный 3 3 4 3 4" xfId="1465"/>
    <cellStyle name="Обычный 3 3 4 3 5" xfId="1466"/>
    <cellStyle name="Обычный 3 3 4 3 6" xfId="1467"/>
    <cellStyle name="Обычный 3 3 4 3 7" xfId="1468"/>
    <cellStyle name="Обычный 3 3 4 3 8" xfId="1469"/>
    <cellStyle name="Обычный 3 3 4 3 9" xfId="1470"/>
    <cellStyle name="Обычный 3 3 4 4" xfId="1471"/>
    <cellStyle name="Обычный 3 3 4 4 10" xfId="1472"/>
    <cellStyle name="Обычный 3 3 4 4 11" xfId="1473"/>
    <cellStyle name="Обычный 3 3 4 4 12" xfId="1474"/>
    <cellStyle name="Обычный 3 3 4 4 13" xfId="1475"/>
    <cellStyle name="Обычный 3 3 4 4 14" xfId="1476"/>
    <cellStyle name="Обычный 3 3 4 4 15" xfId="1477"/>
    <cellStyle name="Обычный 3 3 4 4 16" xfId="1478"/>
    <cellStyle name="Обычный 3 3 4 4 2" xfId="1479"/>
    <cellStyle name="Обычный 3 3 4 4 3" xfId="1480"/>
    <cellStyle name="Обычный 3 3 4 4 4" xfId="1481"/>
    <cellStyle name="Обычный 3 3 4 4 5" xfId="1482"/>
    <cellStyle name="Обычный 3 3 4 4 6" xfId="1483"/>
    <cellStyle name="Обычный 3 3 4 4 7" xfId="1484"/>
    <cellStyle name="Обычный 3 3 4 4 8" xfId="1485"/>
    <cellStyle name="Обычный 3 3 4 4 9" xfId="1486"/>
    <cellStyle name="Обычный 3 3 4 5" xfId="1487"/>
    <cellStyle name="Обычный 3 3 4 5 10" xfId="1488"/>
    <cellStyle name="Обычный 3 3 4 5 11" xfId="1489"/>
    <cellStyle name="Обычный 3 3 4 5 12" xfId="1490"/>
    <cellStyle name="Обычный 3 3 4 5 13" xfId="1491"/>
    <cellStyle name="Обычный 3 3 4 5 14" xfId="1492"/>
    <cellStyle name="Обычный 3 3 4 5 15" xfId="1493"/>
    <cellStyle name="Обычный 3 3 4 5 16" xfId="1494"/>
    <cellStyle name="Обычный 3 3 4 5 2" xfId="1495"/>
    <cellStyle name="Обычный 3 3 4 5 3" xfId="1496"/>
    <cellStyle name="Обычный 3 3 4 5 4" xfId="1497"/>
    <cellStyle name="Обычный 3 3 4 5 5" xfId="1498"/>
    <cellStyle name="Обычный 3 3 4 5 6" xfId="1499"/>
    <cellStyle name="Обычный 3 3 4 5 7" xfId="1500"/>
    <cellStyle name="Обычный 3 3 4 5 8" xfId="1501"/>
    <cellStyle name="Обычный 3 3 4 5 9" xfId="1502"/>
    <cellStyle name="Обычный 3 3 4 6" xfId="1503"/>
    <cellStyle name="Обычный 3 3 4 6 10" xfId="1504"/>
    <cellStyle name="Обычный 3 3 4 6 11" xfId="1505"/>
    <cellStyle name="Обычный 3 3 4 6 12" xfId="1506"/>
    <cellStyle name="Обычный 3 3 4 6 13" xfId="1507"/>
    <cellStyle name="Обычный 3 3 4 6 14" xfId="1508"/>
    <cellStyle name="Обычный 3 3 4 6 15" xfId="1509"/>
    <cellStyle name="Обычный 3 3 4 6 16" xfId="1510"/>
    <cellStyle name="Обычный 3 3 4 6 2" xfId="1511"/>
    <cellStyle name="Обычный 3 3 4 6 3" xfId="1512"/>
    <cellStyle name="Обычный 3 3 4 6 4" xfId="1513"/>
    <cellStyle name="Обычный 3 3 4 6 5" xfId="1514"/>
    <cellStyle name="Обычный 3 3 4 6 6" xfId="1515"/>
    <cellStyle name="Обычный 3 3 4 6 7" xfId="1516"/>
    <cellStyle name="Обычный 3 3 4 6 8" xfId="1517"/>
    <cellStyle name="Обычный 3 3 4 6 9" xfId="1518"/>
    <cellStyle name="Обычный 3 3 4 7" xfId="1519"/>
    <cellStyle name="Обычный 3 3 4 7 10" xfId="1520"/>
    <cellStyle name="Обычный 3 3 4 7 11" xfId="1521"/>
    <cellStyle name="Обычный 3 3 4 7 12" xfId="1522"/>
    <cellStyle name="Обычный 3 3 4 7 13" xfId="1523"/>
    <cellStyle name="Обычный 3 3 4 7 14" xfId="1524"/>
    <cellStyle name="Обычный 3 3 4 7 15" xfId="1525"/>
    <cellStyle name="Обычный 3 3 4 7 16" xfId="1526"/>
    <cellStyle name="Обычный 3 3 4 7 2" xfId="1527"/>
    <cellStyle name="Обычный 3 3 4 7 3" xfId="1528"/>
    <cellStyle name="Обычный 3 3 4 7 4" xfId="1529"/>
    <cellStyle name="Обычный 3 3 4 7 5" xfId="1530"/>
    <cellStyle name="Обычный 3 3 4 7 6" xfId="1531"/>
    <cellStyle name="Обычный 3 3 4 7 7" xfId="1532"/>
    <cellStyle name="Обычный 3 3 4 7 8" xfId="1533"/>
    <cellStyle name="Обычный 3 3 4 7 9" xfId="1534"/>
    <cellStyle name="Обычный 3 3 4 8" xfId="1535"/>
    <cellStyle name="Обычный 3 3 4 8 10" xfId="1536"/>
    <cellStyle name="Обычный 3 3 4 8 11" xfId="1537"/>
    <cellStyle name="Обычный 3 3 4 8 12" xfId="1538"/>
    <cellStyle name="Обычный 3 3 4 8 13" xfId="1539"/>
    <cellStyle name="Обычный 3 3 4 8 14" xfId="1540"/>
    <cellStyle name="Обычный 3 3 4 8 15" xfId="1541"/>
    <cellStyle name="Обычный 3 3 4 8 16" xfId="1542"/>
    <cellStyle name="Обычный 3 3 4 8 2" xfId="1543"/>
    <cellStyle name="Обычный 3 3 4 8 3" xfId="1544"/>
    <cellStyle name="Обычный 3 3 4 8 4" xfId="1545"/>
    <cellStyle name="Обычный 3 3 4 8 5" xfId="1546"/>
    <cellStyle name="Обычный 3 3 4 8 6" xfId="1547"/>
    <cellStyle name="Обычный 3 3 4 8 7" xfId="1548"/>
    <cellStyle name="Обычный 3 3 4 8 8" xfId="1549"/>
    <cellStyle name="Обычный 3 3 4 8 9" xfId="1550"/>
    <cellStyle name="Обычный 3 3 4 9" xfId="1551"/>
    <cellStyle name="Обычный 3 3 5" xfId="1552"/>
    <cellStyle name="Обычный 3 3 5 10" xfId="1553"/>
    <cellStyle name="Обычный 3 3 5 11" xfId="1554"/>
    <cellStyle name="Обычный 3 3 5 12" xfId="1555"/>
    <cellStyle name="Обычный 3 3 5 13" xfId="1556"/>
    <cellStyle name="Обычный 3 3 5 14" xfId="1557"/>
    <cellStyle name="Обычный 3 3 5 15" xfId="1558"/>
    <cellStyle name="Обычный 3 3 5 16" xfId="1559"/>
    <cellStyle name="Обычный 3 3 5 2" xfId="1560"/>
    <cellStyle name="Обычный 3 3 5 3" xfId="1561"/>
    <cellStyle name="Обычный 3 3 5 4" xfId="1562"/>
    <cellStyle name="Обычный 3 3 5 5" xfId="1563"/>
    <cellStyle name="Обычный 3 3 5 6" xfId="1564"/>
    <cellStyle name="Обычный 3 3 5 7" xfId="1565"/>
    <cellStyle name="Обычный 3 3 5 8" xfId="1566"/>
    <cellStyle name="Обычный 3 3 5 9" xfId="1567"/>
    <cellStyle name="Обычный 3 3 6" xfId="1568"/>
    <cellStyle name="Обычный 3 3 6 10" xfId="1569"/>
    <cellStyle name="Обычный 3 3 6 11" xfId="1570"/>
    <cellStyle name="Обычный 3 3 6 12" xfId="1571"/>
    <cellStyle name="Обычный 3 3 6 13" xfId="1572"/>
    <cellStyle name="Обычный 3 3 6 14" xfId="1573"/>
    <cellStyle name="Обычный 3 3 6 15" xfId="1574"/>
    <cellStyle name="Обычный 3 3 6 16" xfId="1575"/>
    <cellStyle name="Обычный 3 3 6 2" xfId="1576"/>
    <cellStyle name="Обычный 3 3 6 3" xfId="1577"/>
    <cellStyle name="Обычный 3 3 6 4" xfId="1578"/>
    <cellStyle name="Обычный 3 3 6 5" xfId="1579"/>
    <cellStyle name="Обычный 3 3 6 6" xfId="1580"/>
    <cellStyle name="Обычный 3 3 6 7" xfId="1581"/>
    <cellStyle name="Обычный 3 3 6 8" xfId="1582"/>
    <cellStyle name="Обычный 3 3 6 9" xfId="1583"/>
    <cellStyle name="Обычный 3 3 7" xfId="1584"/>
    <cellStyle name="Обычный 3 3 7 10" xfId="1585"/>
    <cellStyle name="Обычный 3 3 7 11" xfId="1586"/>
    <cellStyle name="Обычный 3 3 7 12" xfId="1587"/>
    <cellStyle name="Обычный 3 3 7 13" xfId="1588"/>
    <cellStyle name="Обычный 3 3 7 14" xfId="1589"/>
    <cellStyle name="Обычный 3 3 7 15" xfId="1590"/>
    <cellStyle name="Обычный 3 3 7 16" xfId="1591"/>
    <cellStyle name="Обычный 3 3 7 2" xfId="1592"/>
    <cellStyle name="Обычный 3 3 7 3" xfId="1593"/>
    <cellStyle name="Обычный 3 3 7 4" xfId="1594"/>
    <cellStyle name="Обычный 3 3 7 5" xfId="1595"/>
    <cellStyle name="Обычный 3 3 7 6" xfId="1596"/>
    <cellStyle name="Обычный 3 3 7 7" xfId="1597"/>
    <cellStyle name="Обычный 3 3 7 8" xfId="1598"/>
    <cellStyle name="Обычный 3 3 7 9" xfId="1599"/>
    <cellStyle name="Обычный 3 3 8" xfId="1600"/>
    <cellStyle name="Обычный 3 3 8 10" xfId="1601"/>
    <cellStyle name="Обычный 3 3 8 11" xfId="1602"/>
    <cellStyle name="Обычный 3 3 8 12" xfId="1603"/>
    <cellStyle name="Обычный 3 3 8 13" xfId="1604"/>
    <cellStyle name="Обычный 3 3 8 14" xfId="1605"/>
    <cellStyle name="Обычный 3 3 8 15" xfId="1606"/>
    <cellStyle name="Обычный 3 3 8 16" xfId="1607"/>
    <cellStyle name="Обычный 3 3 8 2" xfId="1608"/>
    <cellStyle name="Обычный 3 3 8 3" xfId="1609"/>
    <cellStyle name="Обычный 3 3 8 4" xfId="1610"/>
    <cellStyle name="Обычный 3 3 8 5" xfId="1611"/>
    <cellStyle name="Обычный 3 3 8 6" xfId="1612"/>
    <cellStyle name="Обычный 3 3 8 7" xfId="1613"/>
    <cellStyle name="Обычный 3 3 8 8" xfId="1614"/>
    <cellStyle name="Обычный 3 3 8 9" xfId="1615"/>
    <cellStyle name="Обычный 3 3 9" xfId="1616"/>
    <cellStyle name="Обычный 3 3 9 10" xfId="1617"/>
    <cellStyle name="Обычный 3 3 9 11" xfId="1618"/>
    <cellStyle name="Обычный 3 3 9 12" xfId="1619"/>
    <cellStyle name="Обычный 3 3 9 13" xfId="1620"/>
    <cellStyle name="Обычный 3 3 9 14" xfId="1621"/>
    <cellStyle name="Обычный 3 3 9 15" xfId="1622"/>
    <cellStyle name="Обычный 3 3 9 16" xfId="1623"/>
    <cellStyle name="Обычный 3 3 9 2" xfId="1624"/>
    <cellStyle name="Обычный 3 3 9 3" xfId="1625"/>
    <cellStyle name="Обычный 3 3 9 4" xfId="1626"/>
    <cellStyle name="Обычный 3 3 9 5" xfId="1627"/>
    <cellStyle name="Обычный 3 3 9 6" xfId="1628"/>
    <cellStyle name="Обычный 3 3 9 7" xfId="1629"/>
    <cellStyle name="Обычный 3 3 9 8" xfId="1630"/>
    <cellStyle name="Обычный 3 3 9 9" xfId="1631"/>
    <cellStyle name="Обычный 3 30" xfId="1632"/>
    <cellStyle name="Обычный 3 31" xfId="1633"/>
    <cellStyle name="Обычный 3 32" xfId="1634"/>
    <cellStyle name="Обычный 3 33" xfId="1635"/>
    <cellStyle name="Обычный 3 34" xfId="1636"/>
    <cellStyle name="Обычный 3 4" xfId="1637"/>
    <cellStyle name="Обычный 3 4 10" xfId="1638"/>
    <cellStyle name="Обычный 3 4 10 10" xfId="1639"/>
    <cellStyle name="Обычный 3 4 10 11" xfId="1640"/>
    <cellStyle name="Обычный 3 4 10 12" xfId="1641"/>
    <cellStyle name="Обычный 3 4 10 13" xfId="1642"/>
    <cellStyle name="Обычный 3 4 10 14" xfId="1643"/>
    <cellStyle name="Обычный 3 4 10 15" xfId="1644"/>
    <cellStyle name="Обычный 3 4 10 16" xfId="1645"/>
    <cellStyle name="Обычный 3 4 10 2" xfId="1646"/>
    <cellStyle name="Обычный 3 4 10 3" xfId="1647"/>
    <cellStyle name="Обычный 3 4 10 4" xfId="1648"/>
    <cellStyle name="Обычный 3 4 10 5" xfId="1649"/>
    <cellStyle name="Обычный 3 4 10 6" xfId="1650"/>
    <cellStyle name="Обычный 3 4 10 7" xfId="1651"/>
    <cellStyle name="Обычный 3 4 10 8" xfId="1652"/>
    <cellStyle name="Обычный 3 4 10 9" xfId="1653"/>
    <cellStyle name="Обычный 3 4 11" xfId="1654"/>
    <cellStyle name="Обычный 3 4 11 10" xfId="1655"/>
    <cellStyle name="Обычный 3 4 11 11" xfId="1656"/>
    <cellStyle name="Обычный 3 4 11 12" xfId="1657"/>
    <cellStyle name="Обычный 3 4 11 13" xfId="1658"/>
    <cellStyle name="Обычный 3 4 11 14" xfId="1659"/>
    <cellStyle name="Обычный 3 4 11 15" xfId="1660"/>
    <cellStyle name="Обычный 3 4 11 16" xfId="1661"/>
    <cellStyle name="Обычный 3 4 11 2" xfId="1662"/>
    <cellStyle name="Обычный 3 4 11 3" xfId="1663"/>
    <cellStyle name="Обычный 3 4 11 4" xfId="1664"/>
    <cellStyle name="Обычный 3 4 11 5" xfId="1665"/>
    <cellStyle name="Обычный 3 4 11 6" xfId="1666"/>
    <cellStyle name="Обычный 3 4 11 7" xfId="1667"/>
    <cellStyle name="Обычный 3 4 11 8" xfId="1668"/>
    <cellStyle name="Обычный 3 4 11 9" xfId="1669"/>
    <cellStyle name="Обычный 3 4 12" xfId="1670"/>
    <cellStyle name="Обычный 3 4 13" xfId="1671"/>
    <cellStyle name="Обычный 3 4 14" xfId="1672"/>
    <cellStyle name="Обычный 3 4 15" xfId="1673"/>
    <cellStyle name="Обычный 3 4 16" xfId="1674"/>
    <cellStyle name="Обычный 3 4 17" xfId="1675"/>
    <cellStyle name="Обычный 3 4 18" xfId="1676"/>
    <cellStyle name="Обычный 3 4 19" xfId="1677"/>
    <cellStyle name="Обычный 3 4 2" xfId="1678"/>
    <cellStyle name="Обычный 3 4 2 10" xfId="1679"/>
    <cellStyle name="Обычный 3 4 2 11" xfId="1680"/>
    <cellStyle name="Обычный 3 4 2 12" xfId="1681"/>
    <cellStyle name="Обычный 3 4 2 13" xfId="1682"/>
    <cellStyle name="Обычный 3 4 2 14" xfId="1683"/>
    <cellStyle name="Обычный 3 4 2 15" xfId="1684"/>
    <cellStyle name="Обычный 3 4 2 16" xfId="1685"/>
    <cellStyle name="Обычный 3 4 2 17" xfId="1686"/>
    <cellStyle name="Обычный 3 4 2 18" xfId="1687"/>
    <cellStyle name="Обычный 3 4 2 19" xfId="1688"/>
    <cellStyle name="Обычный 3 4 2 2" xfId="1689"/>
    <cellStyle name="Обычный 3 4 2 2 10" xfId="1690"/>
    <cellStyle name="Обычный 3 4 2 2 11" xfId="1691"/>
    <cellStyle name="Обычный 3 4 2 2 12" xfId="1692"/>
    <cellStyle name="Обычный 3 4 2 2 13" xfId="1693"/>
    <cellStyle name="Обычный 3 4 2 2 14" xfId="1694"/>
    <cellStyle name="Обычный 3 4 2 2 15" xfId="1695"/>
    <cellStyle name="Обычный 3 4 2 2 16" xfId="1696"/>
    <cellStyle name="Обычный 3 4 2 2 2" xfId="1697"/>
    <cellStyle name="Обычный 3 4 2 2 3" xfId="1698"/>
    <cellStyle name="Обычный 3 4 2 2 4" xfId="1699"/>
    <cellStyle name="Обычный 3 4 2 2 5" xfId="1700"/>
    <cellStyle name="Обычный 3 4 2 2 6" xfId="1701"/>
    <cellStyle name="Обычный 3 4 2 2 7" xfId="1702"/>
    <cellStyle name="Обычный 3 4 2 2 8" xfId="1703"/>
    <cellStyle name="Обычный 3 4 2 2 9" xfId="1704"/>
    <cellStyle name="Обычный 3 4 2 20" xfId="1705"/>
    <cellStyle name="Обычный 3 4 2 21" xfId="1706"/>
    <cellStyle name="Обычный 3 4 2 22" xfId="1707"/>
    <cellStyle name="Обычный 3 4 2 23" xfId="1708"/>
    <cellStyle name="Обычный 3 4 2 24" xfId="1709"/>
    <cellStyle name="Обычный 3 4 2 25" xfId="1710"/>
    <cellStyle name="Обычный 3 4 2 3" xfId="1711"/>
    <cellStyle name="Обычный 3 4 2 3 10" xfId="1712"/>
    <cellStyle name="Обычный 3 4 2 3 11" xfId="1713"/>
    <cellStyle name="Обычный 3 4 2 3 12" xfId="1714"/>
    <cellStyle name="Обычный 3 4 2 3 13" xfId="1715"/>
    <cellStyle name="Обычный 3 4 2 3 14" xfId="1716"/>
    <cellStyle name="Обычный 3 4 2 3 15" xfId="1717"/>
    <cellStyle name="Обычный 3 4 2 3 16" xfId="1718"/>
    <cellStyle name="Обычный 3 4 2 3 2" xfId="1719"/>
    <cellStyle name="Обычный 3 4 2 3 3" xfId="1720"/>
    <cellStyle name="Обычный 3 4 2 3 4" xfId="1721"/>
    <cellStyle name="Обычный 3 4 2 3 5" xfId="1722"/>
    <cellStyle name="Обычный 3 4 2 3 6" xfId="1723"/>
    <cellStyle name="Обычный 3 4 2 3 7" xfId="1724"/>
    <cellStyle name="Обычный 3 4 2 3 8" xfId="1725"/>
    <cellStyle name="Обычный 3 4 2 3 9" xfId="1726"/>
    <cellStyle name="Обычный 3 4 2 4" xfId="1727"/>
    <cellStyle name="Обычный 3 4 2 4 10" xfId="1728"/>
    <cellStyle name="Обычный 3 4 2 4 11" xfId="1729"/>
    <cellStyle name="Обычный 3 4 2 4 12" xfId="1730"/>
    <cellStyle name="Обычный 3 4 2 4 13" xfId="1731"/>
    <cellStyle name="Обычный 3 4 2 4 14" xfId="1732"/>
    <cellStyle name="Обычный 3 4 2 4 15" xfId="1733"/>
    <cellStyle name="Обычный 3 4 2 4 16" xfId="1734"/>
    <cellStyle name="Обычный 3 4 2 4 2" xfId="1735"/>
    <cellStyle name="Обычный 3 4 2 4 3" xfId="1736"/>
    <cellStyle name="Обычный 3 4 2 4 4" xfId="1737"/>
    <cellStyle name="Обычный 3 4 2 4 5" xfId="1738"/>
    <cellStyle name="Обычный 3 4 2 4 6" xfId="1739"/>
    <cellStyle name="Обычный 3 4 2 4 7" xfId="1740"/>
    <cellStyle name="Обычный 3 4 2 4 8" xfId="1741"/>
    <cellStyle name="Обычный 3 4 2 4 9" xfId="1742"/>
    <cellStyle name="Обычный 3 4 2 5" xfId="1743"/>
    <cellStyle name="Обычный 3 4 2 5 10" xfId="1744"/>
    <cellStyle name="Обычный 3 4 2 5 11" xfId="1745"/>
    <cellStyle name="Обычный 3 4 2 5 12" xfId="1746"/>
    <cellStyle name="Обычный 3 4 2 5 13" xfId="1747"/>
    <cellStyle name="Обычный 3 4 2 5 14" xfId="1748"/>
    <cellStyle name="Обычный 3 4 2 5 15" xfId="1749"/>
    <cellStyle name="Обычный 3 4 2 5 16" xfId="1750"/>
    <cellStyle name="Обычный 3 4 2 5 2" xfId="1751"/>
    <cellStyle name="Обычный 3 4 2 5 3" xfId="1752"/>
    <cellStyle name="Обычный 3 4 2 5 4" xfId="1753"/>
    <cellStyle name="Обычный 3 4 2 5 5" xfId="1754"/>
    <cellStyle name="Обычный 3 4 2 5 6" xfId="1755"/>
    <cellStyle name="Обычный 3 4 2 5 7" xfId="1756"/>
    <cellStyle name="Обычный 3 4 2 5 8" xfId="1757"/>
    <cellStyle name="Обычный 3 4 2 5 9" xfId="1758"/>
    <cellStyle name="Обычный 3 4 2 6" xfId="1759"/>
    <cellStyle name="Обычный 3 4 2 6 10" xfId="1760"/>
    <cellStyle name="Обычный 3 4 2 6 11" xfId="1761"/>
    <cellStyle name="Обычный 3 4 2 6 12" xfId="1762"/>
    <cellStyle name="Обычный 3 4 2 6 13" xfId="1763"/>
    <cellStyle name="Обычный 3 4 2 6 14" xfId="1764"/>
    <cellStyle name="Обычный 3 4 2 6 15" xfId="1765"/>
    <cellStyle name="Обычный 3 4 2 6 16" xfId="1766"/>
    <cellStyle name="Обычный 3 4 2 6 2" xfId="1767"/>
    <cellStyle name="Обычный 3 4 2 6 3" xfId="1768"/>
    <cellStyle name="Обычный 3 4 2 6 4" xfId="1769"/>
    <cellStyle name="Обычный 3 4 2 6 5" xfId="1770"/>
    <cellStyle name="Обычный 3 4 2 6 6" xfId="1771"/>
    <cellStyle name="Обычный 3 4 2 6 7" xfId="1772"/>
    <cellStyle name="Обычный 3 4 2 6 8" xfId="1773"/>
    <cellStyle name="Обычный 3 4 2 6 9" xfId="1774"/>
    <cellStyle name="Обычный 3 4 2 7" xfId="1775"/>
    <cellStyle name="Обычный 3 4 2 7 10" xfId="1776"/>
    <cellStyle name="Обычный 3 4 2 7 11" xfId="1777"/>
    <cellStyle name="Обычный 3 4 2 7 12" xfId="1778"/>
    <cellStyle name="Обычный 3 4 2 7 13" xfId="1779"/>
    <cellStyle name="Обычный 3 4 2 7 14" xfId="1780"/>
    <cellStyle name="Обычный 3 4 2 7 15" xfId="1781"/>
    <cellStyle name="Обычный 3 4 2 7 16" xfId="1782"/>
    <cellStyle name="Обычный 3 4 2 7 2" xfId="1783"/>
    <cellStyle name="Обычный 3 4 2 7 3" xfId="1784"/>
    <cellStyle name="Обычный 3 4 2 7 4" xfId="1785"/>
    <cellStyle name="Обычный 3 4 2 7 5" xfId="1786"/>
    <cellStyle name="Обычный 3 4 2 7 6" xfId="1787"/>
    <cellStyle name="Обычный 3 4 2 7 7" xfId="1788"/>
    <cellStyle name="Обычный 3 4 2 7 8" xfId="1789"/>
    <cellStyle name="Обычный 3 4 2 7 9" xfId="1790"/>
    <cellStyle name="Обычный 3 4 2 8" xfId="1791"/>
    <cellStyle name="Обычный 3 4 2 8 10" xfId="1792"/>
    <cellStyle name="Обычный 3 4 2 8 11" xfId="1793"/>
    <cellStyle name="Обычный 3 4 2 8 12" xfId="1794"/>
    <cellStyle name="Обычный 3 4 2 8 13" xfId="1795"/>
    <cellStyle name="Обычный 3 4 2 8 14" xfId="1796"/>
    <cellStyle name="Обычный 3 4 2 8 15" xfId="1797"/>
    <cellStyle name="Обычный 3 4 2 8 16" xfId="1798"/>
    <cellStyle name="Обычный 3 4 2 8 2" xfId="1799"/>
    <cellStyle name="Обычный 3 4 2 8 3" xfId="1800"/>
    <cellStyle name="Обычный 3 4 2 8 4" xfId="1801"/>
    <cellStyle name="Обычный 3 4 2 8 5" xfId="1802"/>
    <cellStyle name="Обычный 3 4 2 8 6" xfId="1803"/>
    <cellStyle name="Обычный 3 4 2 8 7" xfId="1804"/>
    <cellStyle name="Обычный 3 4 2 8 8" xfId="1805"/>
    <cellStyle name="Обычный 3 4 2 8 9" xfId="1806"/>
    <cellStyle name="Обычный 3 4 2 9" xfId="1807"/>
    <cellStyle name="Обычный 3 4 20" xfId="1808"/>
    <cellStyle name="Обычный 3 4 21" xfId="1809"/>
    <cellStyle name="Обычный 3 4 22" xfId="1810"/>
    <cellStyle name="Обычный 3 4 23" xfId="1811"/>
    <cellStyle name="Обычный 3 4 24" xfId="1812"/>
    <cellStyle name="Обычный 3 4 25" xfId="1813"/>
    <cellStyle name="Обычный 3 4 26" xfId="1814"/>
    <cellStyle name="Обычный 3 4 27" xfId="1815"/>
    <cellStyle name="Обычный 3 4 28" xfId="1816"/>
    <cellStyle name="Обычный 3 4 3" xfId="1817"/>
    <cellStyle name="Обычный 3 4 3 10" xfId="1818"/>
    <cellStyle name="Обычный 3 4 3 11" xfId="1819"/>
    <cellStyle name="Обычный 3 4 3 12" xfId="1820"/>
    <cellStyle name="Обычный 3 4 3 13" xfId="1821"/>
    <cellStyle name="Обычный 3 4 3 14" xfId="1822"/>
    <cellStyle name="Обычный 3 4 3 15" xfId="1823"/>
    <cellStyle name="Обычный 3 4 3 16" xfId="1824"/>
    <cellStyle name="Обычный 3 4 3 17" xfId="1825"/>
    <cellStyle name="Обычный 3 4 3 18" xfId="1826"/>
    <cellStyle name="Обычный 3 4 3 19" xfId="1827"/>
    <cellStyle name="Обычный 3 4 3 2" xfId="1828"/>
    <cellStyle name="Обычный 3 4 3 2 10" xfId="1829"/>
    <cellStyle name="Обычный 3 4 3 2 11" xfId="1830"/>
    <cellStyle name="Обычный 3 4 3 2 12" xfId="1831"/>
    <cellStyle name="Обычный 3 4 3 2 13" xfId="1832"/>
    <cellStyle name="Обычный 3 4 3 2 14" xfId="1833"/>
    <cellStyle name="Обычный 3 4 3 2 15" xfId="1834"/>
    <cellStyle name="Обычный 3 4 3 2 16" xfId="1835"/>
    <cellStyle name="Обычный 3 4 3 2 2" xfId="1836"/>
    <cellStyle name="Обычный 3 4 3 2 3" xfId="1837"/>
    <cellStyle name="Обычный 3 4 3 2 4" xfId="1838"/>
    <cellStyle name="Обычный 3 4 3 2 5" xfId="1839"/>
    <cellStyle name="Обычный 3 4 3 2 6" xfId="1840"/>
    <cellStyle name="Обычный 3 4 3 2 7" xfId="1841"/>
    <cellStyle name="Обычный 3 4 3 2 8" xfId="1842"/>
    <cellStyle name="Обычный 3 4 3 2 9" xfId="1843"/>
    <cellStyle name="Обычный 3 4 3 20" xfId="1844"/>
    <cellStyle name="Обычный 3 4 3 21" xfId="1845"/>
    <cellStyle name="Обычный 3 4 3 22" xfId="1846"/>
    <cellStyle name="Обычный 3 4 3 23" xfId="1847"/>
    <cellStyle name="Обычный 3 4 3 24" xfId="1848"/>
    <cellStyle name="Обычный 3 4 3 25" xfId="1849"/>
    <cellStyle name="Обычный 3 4 3 3" xfId="1850"/>
    <cellStyle name="Обычный 3 4 3 3 10" xfId="1851"/>
    <cellStyle name="Обычный 3 4 3 3 11" xfId="1852"/>
    <cellStyle name="Обычный 3 4 3 3 12" xfId="1853"/>
    <cellStyle name="Обычный 3 4 3 3 13" xfId="1854"/>
    <cellStyle name="Обычный 3 4 3 3 14" xfId="1855"/>
    <cellStyle name="Обычный 3 4 3 3 15" xfId="1856"/>
    <cellStyle name="Обычный 3 4 3 3 16" xfId="1857"/>
    <cellStyle name="Обычный 3 4 3 3 2" xfId="1858"/>
    <cellStyle name="Обычный 3 4 3 3 3" xfId="1859"/>
    <cellStyle name="Обычный 3 4 3 3 4" xfId="1860"/>
    <cellStyle name="Обычный 3 4 3 3 5" xfId="1861"/>
    <cellStyle name="Обычный 3 4 3 3 6" xfId="1862"/>
    <cellStyle name="Обычный 3 4 3 3 7" xfId="1863"/>
    <cellStyle name="Обычный 3 4 3 3 8" xfId="1864"/>
    <cellStyle name="Обычный 3 4 3 3 9" xfId="1865"/>
    <cellStyle name="Обычный 3 4 3 4" xfId="1866"/>
    <cellStyle name="Обычный 3 4 3 4 10" xfId="1867"/>
    <cellStyle name="Обычный 3 4 3 4 11" xfId="1868"/>
    <cellStyle name="Обычный 3 4 3 4 12" xfId="1869"/>
    <cellStyle name="Обычный 3 4 3 4 13" xfId="1870"/>
    <cellStyle name="Обычный 3 4 3 4 14" xfId="1871"/>
    <cellStyle name="Обычный 3 4 3 4 15" xfId="1872"/>
    <cellStyle name="Обычный 3 4 3 4 16" xfId="1873"/>
    <cellStyle name="Обычный 3 4 3 4 2" xfId="1874"/>
    <cellStyle name="Обычный 3 4 3 4 3" xfId="1875"/>
    <cellStyle name="Обычный 3 4 3 4 4" xfId="1876"/>
    <cellStyle name="Обычный 3 4 3 4 5" xfId="1877"/>
    <cellStyle name="Обычный 3 4 3 4 6" xfId="1878"/>
    <cellStyle name="Обычный 3 4 3 4 7" xfId="1879"/>
    <cellStyle name="Обычный 3 4 3 4 8" xfId="1880"/>
    <cellStyle name="Обычный 3 4 3 4 9" xfId="1881"/>
    <cellStyle name="Обычный 3 4 3 5" xfId="1882"/>
    <cellStyle name="Обычный 3 4 3 5 10" xfId="1883"/>
    <cellStyle name="Обычный 3 4 3 5 11" xfId="1884"/>
    <cellStyle name="Обычный 3 4 3 5 12" xfId="1885"/>
    <cellStyle name="Обычный 3 4 3 5 13" xfId="1886"/>
    <cellStyle name="Обычный 3 4 3 5 14" xfId="1887"/>
    <cellStyle name="Обычный 3 4 3 5 15" xfId="1888"/>
    <cellStyle name="Обычный 3 4 3 5 16" xfId="1889"/>
    <cellStyle name="Обычный 3 4 3 5 2" xfId="1890"/>
    <cellStyle name="Обычный 3 4 3 5 3" xfId="1891"/>
    <cellStyle name="Обычный 3 4 3 5 4" xfId="1892"/>
    <cellStyle name="Обычный 3 4 3 5 5" xfId="1893"/>
    <cellStyle name="Обычный 3 4 3 5 6" xfId="1894"/>
    <cellStyle name="Обычный 3 4 3 5 7" xfId="1895"/>
    <cellStyle name="Обычный 3 4 3 5 8" xfId="1896"/>
    <cellStyle name="Обычный 3 4 3 5 9" xfId="1897"/>
    <cellStyle name="Обычный 3 4 3 6" xfId="1898"/>
    <cellStyle name="Обычный 3 4 3 6 10" xfId="1899"/>
    <cellStyle name="Обычный 3 4 3 6 11" xfId="1900"/>
    <cellStyle name="Обычный 3 4 3 6 12" xfId="1901"/>
    <cellStyle name="Обычный 3 4 3 6 13" xfId="1902"/>
    <cellStyle name="Обычный 3 4 3 6 14" xfId="1903"/>
    <cellStyle name="Обычный 3 4 3 6 15" xfId="1904"/>
    <cellStyle name="Обычный 3 4 3 6 16" xfId="1905"/>
    <cellStyle name="Обычный 3 4 3 6 2" xfId="1906"/>
    <cellStyle name="Обычный 3 4 3 6 3" xfId="1907"/>
    <cellStyle name="Обычный 3 4 3 6 4" xfId="1908"/>
    <cellStyle name="Обычный 3 4 3 6 5" xfId="1909"/>
    <cellStyle name="Обычный 3 4 3 6 6" xfId="1910"/>
    <cellStyle name="Обычный 3 4 3 6 7" xfId="1911"/>
    <cellStyle name="Обычный 3 4 3 6 8" xfId="1912"/>
    <cellStyle name="Обычный 3 4 3 6 9" xfId="1913"/>
    <cellStyle name="Обычный 3 4 3 7" xfId="1914"/>
    <cellStyle name="Обычный 3 4 3 7 10" xfId="1915"/>
    <cellStyle name="Обычный 3 4 3 7 11" xfId="1916"/>
    <cellStyle name="Обычный 3 4 3 7 12" xfId="1917"/>
    <cellStyle name="Обычный 3 4 3 7 13" xfId="1918"/>
    <cellStyle name="Обычный 3 4 3 7 14" xfId="1919"/>
    <cellStyle name="Обычный 3 4 3 7 15" xfId="1920"/>
    <cellStyle name="Обычный 3 4 3 7 16" xfId="1921"/>
    <cellStyle name="Обычный 3 4 3 7 2" xfId="1922"/>
    <cellStyle name="Обычный 3 4 3 7 3" xfId="1923"/>
    <cellStyle name="Обычный 3 4 3 7 4" xfId="1924"/>
    <cellStyle name="Обычный 3 4 3 7 5" xfId="1925"/>
    <cellStyle name="Обычный 3 4 3 7 6" xfId="1926"/>
    <cellStyle name="Обычный 3 4 3 7 7" xfId="1927"/>
    <cellStyle name="Обычный 3 4 3 7 8" xfId="1928"/>
    <cellStyle name="Обычный 3 4 3 7 9" xfId="1929"/>
    <cellStyle name="Обычный 3 4 3 8" xfId="1930"/>
    <cellStyle name="Обычный 3 4 3 8 10" xfId="1931"/>
    <cellStyle name="Обычный 3 4 3 8 11" xfId="1932"/>
    <cellStyle name="Обычный 3 4 3 8 12" xfId="1933"/>
    <cellStyle name="Обычный 3 4 3 8 13" xfId="1934"/>
    <cellStyle name="Обычный 3 4 3 8 14" xfId="1935"/>
    <cellStyle name="Обычный 3 4 3 8 15" xfId="1936"/>
    <cellStyle name="Обычный 3 4 3 8 16" xfId="1937"/>
    <cellStyle name="Обычный 3 4 3 8 2" xfId="1938"/>
    <cellStyle name="Обычный 3 4 3 8 3" xfId="1939"/>
    <cellStyle name="Обычный 3 4 3 8 4" xfId="1940"/>
    <cellStyle name="Обычный 3 4 3 8 5" xfId="1941"/>
    <cellStyle name="Обычный 3 4 3 8 6" xfId="1942"/>
    <cellStyle name="Обычный 3 4 3 8 7" xfId="1943"/>
    <cellStyle name="Обычный 3 4 3 8 8" xfId="1944"/>
    <cellStyle name="Обычный 3 4 3 8 9" xfId="1945"/>
    <cellStyle name="Обычный 3 4 3 9" xfId="1946"/>
    <cellStyle name="Обычный 3 4 4" xfId="1947"/>
    <cellStyle name="Обычный 3 4 4 10" xfId="1948"/>
    <cellStyle name="Обычный 3 4 4 11" xfId="1949"/>
    <cellStyle name="Обычный 3 4 4 12" xfId="1950"/>
    <cellStyle name="Обычный 3 4 4 13" xfId="1951"/>
    <cellStyle name="Обычный 3 4 4 14" xfId="1952"/>
    <cellStyle name="Обычный 3 4 4 15" xfId="1953"/>
    <cellStyle name="Обычный 3 4 4 16" xfId="1954"/>
    <cellStyle name="Обычный 3 4 4 17" xfId="1955"/>
    <cellStyle name="Обычный 3 4 4 18" xfId="1956"/>
    <cellStyle name="Обычный 3 4 4 19" xfId="1957"/>
    <cellStyle name="Обычный 3 4 4 2" xfId="1958"/>
    <cellStyle name="Обычный 3 4 4 2 10" xfId="1959"/>
    <cellStyle name="Обычный 3 4 4 2 11" xfId="1960"/>
    <cellStyle name="Обычный 3 4 4 2 12" xfId="1961"/>
    <cellStyle name="Обычный 3 4 4 2 13" xfId="1962"/>
    <cellStyle name="Обычный 3 4 4 2 14" xfId="1963"/>
    <cellStyle name="Обычный 3 4 4 2 15" xfId="1964"/>
    <cellStyle name="Обычный 3 4 4 2 16" xfId="1965"/>
    <cellStyle name="Обычный 3 4 4 2 2" xfId="1966"/>
    <cellStyle name="Обычный 3 4 4 2 3" xfId="1967"/>
    <cellStyle name="Обычный 3 4 4 2 4" xfId="1968"/>
    <cellStyle name="Обычный 3 4 4 2 5" xfId="1969"/>
    <cellStyle name="Обычный 3 4 4 2 6" xfId="1970"/>
    <cellStyle name="Обычный 3 4 4 2 7" xfId="1971"/>
    <cellStyle name="Обычный 3 4 4 2 8" xfId="1972"/>
    <cellStyle name="Обычный 3 4 4 2 9" xfId="1973"/>
    <cellStyle name="Обычный 3 4 4 20" xfId="1974"/>
    <cellStyle name="Обычный 3 4 4 21" xfId="1975"/>
    <cellStyle name="Обычный 3 4 4 22" xfId="1976"/>
    <cellStyle name="Обычный 3 4 4 23" xfId="1977"/>
    <cellStyle name="Обычный 3 4 4 24" xfId="1978"/>
    <cellStyle name="Обычный 3 4 4 25" xfId="1979"/>
    <cellStyle name="Обычный 3 4 4 3" xfId="1980"/>
    <cellStyle name="Обычный 3 4 4 3 10" xfId="1981"/>
    <cellStyle name="Обычный 3 4 4 3 11" xfId="1982"/>
    <cellStyle name="Обычный 3 4 4 3 12" xfId="1983"/>
    <cellStyle name="Обычный 3 4 4 3 13" xfId="1984"/>
    <cellStyle name="Обычный 3 4 4 3 14" xfId="1985"/>
    <cellStyle name="Обычный 3 4 4 3 15" xfId="1986"/>
    <cellStyle name="Обычный 3 4 4 3 16" xfId="1987"/>
    <cellStyle name="Обычный 3 4 4 3 2" xfId="1988"/>
    <cellStyle name="Обычный 3 4 4 3 3" xfId="1989"/>
    <cellStyle name="Обычный 3 4 4 3 4" xfId="1990"/>
    <cellStyle name="Обычный 3 4 4 3 5" xfId="1991"/>
    <cellStyle name="Обычный 3 4 4 3 6" xfId="1992"/>
    <cellStyle name="Обычный 3 4 4 3 7" xfId="1993"/>
    <cellStyle name="Обычный 3 4 4 3 8" xfId="1994"/>
    <cellStyle name="Обычный 3 4 4 3 9" xfId="1995"/>
    <cellStyle name="Обычный 3 4 4 4" xfId="1996"/>
    <cellStyle name="Обычный 3 4 4 4 10" xfId="1997"/>
    <cellStyle name="Обычный 3 4 4 4 11" xfId="1998"/>
    <cellStyle name="Обычный 3 4 4 4 12" xfId="1999"/>
    <cellStyle name="Обычный 3 4 4 4 13" xfId="2000"/>
    <cellStyle name="Обычный 3 4 4 4 14" xfId="2001"/>
    <cellStyle name="Обычный 3 4 4 4 15" xfId="2002"/>
    <cellStyle name="Обычный 3 4 4 4 16" xfId="2003"/>
    <cellStyle name="Обычный 3 4 4 4 2" xfId="2004"/>
    <cellStyle name="Обычный 3 4 4 4 3" xfId="2005"/>
    <cellStyle name="Обычный 3 4 4 4 4" xfId="2006"/>
    <cellStyle name="Обычный 3 4 4 4 5" xfId="2007"/>
    <cellStyle name="Обычный 3 4 4 4 6" xfId="2008"/>
    <cellStyle name="Обычный 3 4 4 4 7" xfId="2009"/>
    <cellStyle name="Обычный 3 4 4 4 8" xfId="2010"/>
    <cellStyle name="Обычный 3 4 4 4 9" xfId="2011"/>
    <cellStyle name="Обычный 3 4 4 5" xfId="2012"/>
    <cellStyle name="Обычный 3 4 4 5 10" xfId="2013"/>
    <cellStyle name="Обычный 3 4 4 5 11" xfId="2014"/>
    <cellStyle name="Обычный 3 4 4 5 12" xfId="2015"/>
    <cellStyle name="Обычный 3 4 4 5 13" xfId="2016"/>
    <cellStyle name="Обычный 3 4 4 5 14" xfId="2017"/>
    <cellStyle name="Обычный 3 4 4 5 15" xfId="2018"/>
    <cellStyle name="Обычный 3 4 4 5 16" xfId="2019"/>
    <cellStyle name="Обычный 3 4 4 5 2" xfId="2020"/>
    <cellStyle name="Обычный 3 4 4 5 3" xfId="2021"/>
    <cellStyle name="Обычный 3 4 4 5 4" xfId="2022"/>
    <cellStyle name="Обычный 3 4 4 5 5" xfId="2023"/>
    <cellStyle name="Обычный 3 4 4 5 6" xfId="2024"/>
    <cellStyle name="Обычный 3 4 4 5 7" xfId="2025"/>
    <cellStyle name="Обычный 3 4 4 5 8" xfId="2026"/>
    <cellStyle name="Обычный 3 4 4 5 9" xfId="2027"/>
    <cellStyle name="Обычный 3 4 4 6" xfId="2028"/>
    <cellStyle name="Обычный 3 4 4 6 10" xfId="2029"/>
    <cellStyle name="Обычный 3 4 4 6 11" xfId="2030"/>
    <cellStyle name="Обычный 3 4 4 6 12" xfId="2031"/>
    <cellStyle name="Обычный 3 4 4 6 13" xfId="2032"/>
    <cellStyle name="Обычный 3 4 4 6 14" xfId="2033"/>
    <cellStyle name="Обычный 3 4 4 6 15" xfId="2034"/>
    <cellStyle name="Обычный 3 4 4 6 16" xfId="2035"/>
    <cellStyle name="Обычный 3 4 4 6 2" xfId="2036"/>
    <cellStyle name="Обычный 3 4 4 6 3" xfId="2037"/>
    <cellStyle name="Обычный 3 4 4 6 4" xfId="2038"/>
    <cellStyle name="Обычный 3 4 4 6 5" xfId="2039"/>
    <cellStyle name="Обычный 3 4 4 6 6" xfId="2040"/>
    <cellStyle name="Обычный 3 4 4 6 7" xfId="2041"/>
    <cellStyle name="Обычный 3 4 4 6 8" xfId="2042"/>
    <cellStyle name="Обычный 3 4 4 6 9" xfId="2043"/>
    <cellStyle name="Обычный 3 4 4 7" xfId="2044"/>
    <cellStyle name="Обычный 3 4 4 7 10" xfId="2045"/>
    <cellStyle name="Обычный 3 4 4 7 11" xfId="2046"/>
    <cellStyle name="Обычный 3 4 4 7 12" xfId="2047"/>
    <cellStyle name="Обычный 3 4 4 7 13" xfId="2048"/>
    <cellStyle name="Обычный 3 4 4 7 14" xfId="2049"/>
    <cellStyle name="Обычный 3 4 4 7 15" xfId="2050"/>
    <cellStyle name="Обычный 3 4 4 7 16" xfId="2051"/>
    <cellStyle name="Обычный 3 4 4 7 2" xfId="2052"/>
    <cellStyle name="Обычный 3 4 4 7 3" xfId="2053"/>
    <cellStyle name="Обычный 3 4 4 7 4" xfId="2054"/>
    <cellStyle name="Обычный 3 4 4 7 5" xfId="2055"/>
    <cellStyle name="Обычный 3 4 4 7 6" xfId="2056"/>
    <cellStyle name="Обычный 3 4 4 7 7" xfId="2057"/>
    <cellStyle name="Обычный 3 4 4 7 8" xfId="2058"/>
    <cellStyle name="Обычный 3 4 4 7 9" xfId="2059"/>
    <cellStyle name="Обычный 3 4 4 8" xfId="2060"/>
    <cellStyle name="Обычный 3 4 4 8 10" xfId="2061"/>
    <cellStyle name="Обычный 3 4 4 8 11" xfId="2062"/>
    <cellStyle name="Обычный 3 4 4 8 12" xfId="2063"/>
    <cellStyle name="Обычный 3 4 4 8 13" xfId="2064"/>
    <cellStyle name="Обычный 3 4 4 8 14" xfId="2065"/>
    <cellStyle name="Обычный 3 4 4 8 15" xfId="2066"/>
    <cellStyle name="Обычный 3 4 4 8 16" xfId="2067"/>
    <cellStyle name="Обычный 3 4 4 8 2" xfId="2068"/>
    <cellStyle name="Обычный 3 4 4 8 3" xfId="2069"/>
    <cellStyle name="Обычный 3 4 4 8 4" xfId="2070"/>
    <cellStyle name="Обычный 3 4 4 8 5" xfId="2071"/>
    <cellStyle name="Обычный 3 4 4 8 6" xfId="2072"/>
    <cellStyle name="Обычный 3 4 4 8 7" xfId="2073"/>
    <cellStyle name="Обычный 3 4 4 8 8" xfId="2074"/>
    <cellStyle name="Обычный 3 4 4 8 9" xfId="2075"/>
    <cellStyle name="Обычный 3 4 4 9" xfId="2076"/>
    <cellStyle name="Обычный 3 4 5" xfId="2077"/>
    <cellStyle name="Обычный 3 4 5 10" xfId="2078"/>
    <cellStyle name="Обычный 3 4 5 11" xfId="2079"/>
    <cellStyle name="Обычный 3 4 5 12" xfId="2080"/>
    <cellStyle name="Обычный 3 4 5 13" xfId="2081"/>
    <cellStyle name="Обычный 3 4 5 14" xfId="2082"/>
    <cellStyle name="Обычный 3 4 5 15" xfId="2083"/>
    <cellStyle name="Обычный 3 4 5 16" xfId="2084"/>
    <cellStyle name="Обычный 3 4 5 2" xfId="2085"/>
    <cellStyle name="Обычный 3 4 5 3" xfId="2086"/>
    <cellStyle name="Обычный 3 4 5 4" xfId="2087"/>
    <cellStyle name="Обычный 3 4 5 5" xfId="2088"/>
    <cellStyle name="Обычный 3 4 5 6" xfId="2089"/>
    <cellStyle name="Обычный 3 4 5 7" xfId="2090"/>
    <cellStyle name="Обычный 3 4 5 8" xfId="2091"/>
    <cellStyle name="Обычный 3 4 5 9" xfId="2092"/>
    <cellStyle name="Обычный 3 4 6" xfId="2093"/>
    <cellStyle name="Обычный 3 4 6 10" xfId="2094"/>
    <cellStyle name="Обычный 3 4 6 11" xfId="2095"/>
    <cellStyle name="Обычный 3 4 6 12" xfId="2096"/>
    <cellStyle name="Обычный 3 4 6 13" xfId="2097"/>
    <cellStyle name="Обычный 3 4 6 14" xfId="2098"/>
    <cellStyle name="Обычный 3 4 6 15" xfId="2099"/>
    <cellStyle name="Обычный 3 4 6 16" xfId="2100"/>
    <cellStyle name="Обычный 3 4 6 2" xfId="2101"/>
    <cellStyle name="Обычный 3 4 6 3" xfId="2102"/>
    <cellStyle name="Обычный 3 4 6 4" xfId="2103"/>
    <cellStyle name="Обычный 3 4 6 5" xfId="2104"/>
    <cellStyle name="Обычный 3 4 6 6" xfId="2105"/>
    <cellStyle name="Обычный 3 4 6 7" xfId="2106"/>
    <cellStyle name="Обычный 3 4 6 8" xfId="2107"/>
    <cellStyle name="Обычный 3 4 6 9" xfId="2108"/>
    <cellStyle name="Обычный 3 4 7" xfId="2109"/>
    <cellStyle name="Обычный 3 4 7 10" xfId="2110"/>
    <cellStyle name="Обычный 3 4 7 11" xfId="2111"/>
    <cellStyle name="Обычный 3 4 7 12" xfId="2112"/>
    <cellStyle name="Обычный 3 4 7 13" xfId="2113"/>
    <cellStyle name="Обычный 3 4 7 14" xfId="2114"/>
    <cellStyle name="Обычный 3 4 7 15" xfId="2115"/>
    <cellStyle name="Обычный 3 4 7 16" xfId="2116"/>
    <cellStyle name="Обычный 3 4 7 2" xfId="2117"/>
    <cellStyle name="Обычный 3 4 7 3" xfId="2118"/>
    <cellStyle name="Обычный 3 4 7 4" xfId="2119"/>
    <cellStyle name="Обычный 3 4 7 5" xfId="2120"/>
    <cellStyle name="Обычный 3 4 7 6" xfId="2121"/>
    <cellStyle name="Обычный 3 4 7 7" xfId="2122"/>
    <cellStyle name="Обычный 3 4 7 8" xfId="2123"/>
    <cellStyle name="Обычный 3 4 7 9" xfId="2124"/>
    <cellStyle name="Обычный 3 4 8" xfId="2125"/>
    <cellStyle name="Обычный 3 4 8 10" xfId="2126"/>
    <cellStyle name="Обычный 3 4 8 11" xfId="2127"/>
    <cellStyle name="Обычный 3 4 8 12" xfId="2128"/>
    <cellStyle name="Обычный 3 4 8 13" xfId="2129"/>
    <cellStyle name="Обычный 3 4 8 14" xfId="2130"/>
    <cellStyle name="Обычный 3 4 8 15" xfId="2131"/>
    <cellStyle name="Обычный 3 4 8 16" xfId="2132"/>
    <cellStyle name="Обычный 3 4 8 2" xfId="2133"/>
    <cellStyle name="Обычный 3 4 8 3" xfId="2134"/>
    <cellStyle name="Обычный 3 4 8 4" xfId="2135"/>
    <cellStyle name="Обычный 3 4 8 5" xfId="2136"/>
    <cellStyle name="Обычный 3 4 8 6" xfId="2137"/>
    <cellStyle name="Обычный 3 4 8 7" xfId="2138"/>
    <cellStyle name="Обычный 3 4 8 8" xfId="2139"/>
    <cellStyle name="Обычный 3 4 8 9" xfId="2140"/>
    <cellStyle name="Обычный 3 4 9" xfId="2141"/>
    <cellStyle name="Обычный 3 4 9 10" xfId="2142"/>
    <cellStyle name="Обычный 3 4 9 11" xfId="2143"/>
    <cellStyle name="Обычный 3 4 9 12" xfId="2144"/>
    <cellStyle name="Обычный 3 4 9 13" xfId="2145"/>
    <cellStyle name="Обычный 3 4 9 14" xfId="2146"/>
    <cellStyle name="Обычный 3 4 9 15" xfId="2147"/>
    <cellStyle name="Обычный 3 4 9 16" xfId="2148"/>
    <cellStyle name="Обычный 3 4 9 2" xfId="2149"/>
    <cellStyle name="Обычный 3 4 9 3" xfId="2150"/>
    <cellStyle name="Обычный 3 4 9 4" xfId="2151"/>
    <cellStyle name="Обычный 3 4 9 5" xfId="2152"/>
    <cellStyle name="Обычный 3 4 9 6" xfId="2153"/>
    <cellStyle name="Обычный 3 4 9 7" xfId="2154"/>
    <cellStyle name="Обычный 3 4 9 8" xfId="2155"/>
    <cellStyle name="Обычный 3 4 9 9" xfId="2156"/>
    <cellStyle name="Обычный 3 5" xfId="2157"/>
    <cellStyle name="Обычный 3 5 10" xfId="2158"/>
    <cellStyle name="Обычный 3 5 11" xfId="2159"/>
    <cellStyle name="Обычный 3 5 12" xfId="2160"/>
    <cellStyle name="Обычный 3 5 13" xfId="2161"/>
    <cellStyle name="Обычный 3 5 14" xfId="2162"/>
    <cellStyle name="Обычный 3 5 15" xfId="2163"/>
    <cellStyle name="Обычный 3 5 16" xfId="2164"/>
    <cellStyle name="Обычный 3 5 17" xfId="2165"/>
    <cellStyle name="Обычный 3 5 18" xfId="2166"/>
    <cellStyle name="Обычный 3 5 19" xfId="2167"/>
    <cellStyle name="Обычный 3 5 2" xfId="2168"/>
    <cellStyle name="Обычный 3 5 2 10" xfId="2169"/>
    <cellStyle name="Обычный 3 5 2 11" xfId="2170"/>
    <cellStyle name="Обычный 3 5 2 12" xfId="2171"/>
    <cellStyle name="Обычный 3 5 2 13" xfId="2172"/>
    <cellStyle name="Обычный 3 5 2 14" xfId="2173"/>
    <cellStyle name="Обычный 3 5 2 15" xfId="2174"/>
    <cellStyle name="Обычный 3 5 2 16" xfId="2175"/>
    <cellStyle name="Обычный 3 5 2 2" xfId="2176"/>
    <cellStyle name="Обычный 3 5 2 3" xfId="2177"/>
    <cellStyle name="Обычный 3 5 2 4" xfId="2178"/>
    <cellStyle name="Обычный 3 5 2 5" xfId="2179"/>
    <cellStyle name="Обычный 3 5 2 6" xfId="2180"/>
    <cellStyle name="Обычный 3 5 2 7" xfId="2181"/>
    <cellStyle name="Обычный 3 5 2 8" xfId="2182"/>
    <cellStyle name="Обычный 3 5 2 9" xfId="2183"/>
    <cellStyle name="Обычный 3 5 20" xfId="2184"/>
    <cellStyle name="Обычный 3 5 21" xfId="2185"/>
    <cellStyle name="Обычный 3 5 22" xfId="2186"/>
    <cellStyle name="Обычный 3 5 23" xfId="2187"/>
    <cellStyle name="Обычный 3 5 24" xfId="2188"/>
    <cellStyle name="Обычный 3 5 25" xfId="2189"/>
    <cellStyle name="Обычный 3 5 3" xfId="2190"/>
    <cellStyle name="Обычный 3 5 3 10" xfId="2191"/>
    <cellStyle name="Обычный 3 5 3 11" xfId="2192"/>
    <cellStyle name="Обычный 3 5 3 12" xfId="2193"/>
    <cellStyle name="Обычный 3 5 3 13" xfId="2194"/>
    <cellStyle name="Обычный 3 5 3 14" xfId="2195"/>
    <cellStyle name="Обычный 3 5 3 15" xfId="2196"/>
    <cellStyle name="Обычный 3 5 3 16" xfId="2197"/>
    <cellStyle name="Обычный 3 5 3 2" xfId="2198"/>
    <cellStyle name="Обычный 3 5 3 3" xfId="2199"/>
    <cellStyle name="Обычный 3 5 3 4" xfId="2200"/>
    <cellStyle name="Обычный 3 5 3 5" xfId="2201"/>
    <cellStyle name="Обычный 3 5 3 6" xfId="2202"/>
    <cellStyle name="Обычный 3 5 3 7" xfId="2203"/>
    <cellStyle name="Обычный 3 5 3 8" xfId="2204"/>
    <cellStyle name="Обычный 3 5 3 9" xfId="2205"/>
    <cellStyle name="Обычный 3 5 4" xfId="2206"/>
    <cellStyle name="Обычный 3 5 4 10" xfId="2207"/>
    <cellStyle name="Обычный 3 5 4 11" xfId="2208"/>
    <cellStyle name="Обычный 3 5 4 12" xfId="2209"/>
    <cellStyle name="Обычный 3 5 4 13" xfId="2210"/>
    <cellStyle name="Обычный 3 5 4 14" xfId="2211"/>
    <cellStyle name="Обычный 3 5 4 15" xfId="2212"/>
    <cellStyle name="Обычный 3 5 4 16" xfId="2213"/>
    <cellStyle name="Обычный 3 5 4 2" xfId="2214"/>
    <cellStyle name="Обычный 3 5 4 3" xfId="2215"/>
    <cellStyle name="Обычный 3 5 4 4" xfId="2216"/>
    <cellStyle name="Обычный 3 5 4 5" xfId="2217"/>
    <cellStyle name="Обычный 3 5 4 6" xfId="2218"/>
    <cellStyle name="Обычный 3 5 4 7" xfId="2219"/>
    <cellStyle name="Обычный 3 5 4 8" xfId="2220"/>
    <cellStyle name="Обычный 3 5 4 9" xfId="2221"/>
    <cellStyle name="Обычный 3 5 5" xfId="2222"/>
    <cellStyle name="Обычный 3 5 5 10" xfId="2223"/>
    <cellStyle name="Обычный 3 5 5 11" xfId="2224"/>
    <cellStyle name="Обычный 3 5 5 12" xfId="2225"/>
    <cellStyle name="Обычный 3 5 5 13" xfId="2226"/>
    <cellStyle name="Обычный 3 5 5 14" xfId="2227"/>
    <cellStyle name="Обычный 3 5 5 15" xfId="2228"/>
    <cellStyle name="Обычный 3 5 5 16" xfId="2229"/>
    <cellStyle name="Обычный 3 5 5 2" xfId="2230"/>
    <cellStyle name="Обычный 3 5 5 3" xfId="2231"/>
    <cellStyle name="Обычный 3 5 5 4" xfId="2232"/>
    <cellStyle name="Обычный 3 5 5 5" xfId="2233"/>
    <cellStyle name="Обычный 3 5 5 6" xfId="2234"/>
    <cellStyle name="Обычный 3 5 5 7" xfId="2235"/>
    <cellStyle name="Обычный 3 5 5 8" xfId="2236"/>
    <cellStyle name="Обычный 3 5 5 9" xfId="2237"/>
    <cellStyle name="Обычный 3 5 6" xfId="2238"/>
    <cellStyle name="Обычный 3 5 6 10" xfId="2239"/>
    <cellStyle name="Обычный 3 5 6 11" xfId="2240"/>
    <cellStyle name="Обычный 3 5 6 12" xfId="2241"/>
    <cellStyle name="Обычный 3 5 6 13" xfId="2242"/>
    <cellStyle name="Обычный 3 5 6 14" xfId="2243"/>
    <cellStyle name="Обычный 3 5 6 15" xfId="2244"/>
    <cellStyle name="Обычный 3 5 6 16" xfId="2245"/>
    <cellStyle name="Обычный 3 5 6 2" xfId="2246"/>
    <cellStyle name="Обычный 3 5 6 3" xfId="2247"/>
    <cellStyle name="Обычный 3 5 6 4" xfId="2248"/>
    <cellStyle name="Обычный 3 5 6 5" xfId="2249"/>
    <cellStyle name="Обычный 3 5 6 6" xfId="2250"/>
    <cellStyle name="Обычный 3 5 6 7" xfId="2251"/>
    <cellStyle name="Обычный 3 5 6 8" xfId="2252"/>
    <cellStyle name="Обычный 3 5 6 9" xfId="2253"/>
    <cellStyle name="Обычный 3 5 7" xfId="2254"/>
    <cellStyle name="Обычный 3 5 7 10" xfId="2255"/>
    <cellStyle name="Обычный 3 5 7 11" xfId="2256"/>
    <cellStyle name="Обычный 3 5 7 12" xfId="2257"/>
    <cellStyle name="Обычный 3 5 7 13" xfId="2258"/>
    <cellStyle name="Обычный 3 5 7 14" xfId="2259"/>
    <cellStyle name="Обычный 3 5 7 15" xfId="2260"/>
    <cellStyle name="Обычный 3 5 7 16" xfId="2261"/>
    <cellStyle name="Обычный 3 5 7 2" xfId="2262"/>
    <cellStyle name="Обычный 3 5 7 3" xfId="2263"/>
    <cellStyle name="Обычный 3 5 7 4" xfId="2264"/>
    <cellStyle name="Обычный 3 5 7 5" xfId="2265"/>
    <cellStyle name="Обычный 3 5 7 6" xfId="2266"/>
    <cellStyle name="Обычный 3 5 7 7" xfId="2267"/>
    <cellStyle name="Обычный 3 5 7 8" xfId="2268"/>
    <cellStyle name="Обычный 3 5 7 9" xfId="2269"/>
    <cellStyle name="Обычный 3 5 8" xfId="2270"/>
    <cellStyle name="Обычный 3 5 8 10" xfId="2271"/>
    <cellStyle name="Обычный 3 5 8 11" xfId="2272"/>
    <cellStyle name="Обычный 3 5 8 12" xfId="2273"/>
    <cellStyle name="Обычный 3 5 8 13" xfId="2274"/>
    <cellStyle name="Обычный 3 5 8 14" xfId="2275"/>
    <cellStyle name="Обычный 3 5 8 15" xfId="2276"/>
    <cellStyle name="Обычный 3 5 8 16" xfId="2277"/>
    <cellStyle name="Обычный 3 5 8 2" xfId="2278"/>
    <cellStyle name="Обычный 3 5 8 3" xfId="2279"/>
    <cellStyle name="Обычный 3 5 8 4" xfId="2280"/>
    <cellStyle name="Обычный 3 5 8 5" xfId="2281"/>
    <cellStyle name="Обычный 3 5 8 6" xfId="2282"/>
    <cellStyle name="Обычный 3 5 8 7" xfId="2283"/>
    <cellStyle name="Обычный 3 5 8 8" xfId="2284"/>
    <cellStyle name="Обычный 3 5 8 9" xfId="2285"/>
    <cellStyle name="Обычный 3 5 9" xfId="2286"/>
    <cellStyle name="Обычный 3 6" xfId="2287"/>
    <cellStyle name="Обычный 3 6 10" xfId="2288"/>
    <cellStyle name="Обычный 3 6 11" xfId="2289"/>
    <cellStyle name="Обычный 3 6 12" xfId="2290"/>
    <cellStyle name="Обычный 3 6 13" xfId="2291"/>
    <cellStyle name="Обычный 3 6 14" xfId="2292"/>
    <cellStyle name="Обычный 3 6 15" xfId="2293"/>
    <cellStyle name="Обычный 3 6 16" xfId="2294"/>
    <cellStyle name="Обычный 3 6 17" xfId="2295"/>
    <cellStyle name="Обычный 3 6 18" xfId="2296"/>
    <cellStyle name="Обычный 3 6 19" xfId="2297"/>
    <cellStyle name="Обычный 3 6 2" xfId="2298"/>
    <cellStyle name="Обычный 3 6 2 10" xfId="2299"/>
    <cellStyle name="Обычный 3 6 2 11" xfId="2300"/>
    <cellStyle name="Обычный 3 6 2 12" xfId="2301"/>
    <cellStyle name="Обычный 3 6 2 13" xfId="2302"/>
    <cellStyle name="Обычный 3 6 2 14" xfId="2303"/>
    <cellStyle name="Обычный 3 6 2 15" xfId="2304"/>
    <cellStyle name="Обычный 3 6 2 16" xfId="2305"/>
    <cellStyle name="Обычный 3 6 2 2" xfId="2306"/>
    <cellStyle name="Обычный 3 6 2 3" xfId="2307"/>
    <cellStyle name="Обычный 3 6 2 4" xfId="2308"/>
    <cellStyle name="Обычный 3 6 2 5" xfId="2309"/>
    <cellStyle name="Обычный 3 6 2 6" xfId="2310"/>
    <cellStyle name="Обычный 3 6 2 7" xfId="2311"/>
    <cellStyle name="Обычный 3 6 2 8" xfId="2312"/>
    <cellStyle name="Обычный 3 6 2 9" xfId="2313"/>
    <cellStyle name="Обычный 3 6 20" xfId="2314"/>
    <cellStyle name="Обычный 3 6 21" xfId="2315"/>
    <cellStyle name="Обычный 3 6 22" xfId="2316"/>
    <cellStyle name="Обычный 3 6 23" xfId="2317"/>
    <cellStyle name="Обычный 3 6 24" xfId="2318"/>
    <cellStyle name="Обычный 3 6 25" xfId="2319"/>
    <cellStyle name="Обычный 3 6 3" xfId="2320"/>
    <cellStyle name="Обычный 3 6 3 10" xfId="2321"/>
    <cellStyle name="Обычный 3 6 3 11" xfId="2322"/>
    <cellStyle name="Обычный 3 6 3 12" xfId="2323"/>
    <cellStyle name="Обычный 3 6 3 13" xfId="2324"/>
    <cellStyle name="Обычный 3 6 3 14" xfId="2325"/>
    <cellStyle name="Обычный 3 6 3 15" xfId="2326"/>
    <cellStyle name="Обычный 3 6 3 16" xfId="2327"/>
    <cellStyle name="Обычный 3 6 3 2" xfId="2328"/>
    <cellStyle name="Обычный 3 6 3 3" xfId="2329"/>
    <cellStyle name="Обычный 3 6 3 4" xfId="2330"/>
    <cellStyle name="Обычный 3 6 3 5" xfId="2331"/>
    <cellStyle name="Обычный 3 6 3 6" xfId="2332"/>
    <cellStyle name="Обычный 3 6 3 7" xfId="2333"/>
    <cellStyle name="Обычный 3 6 3 8" xfId="2334"/>
    <cellStyle name="Обычный 3 6 3 9" xfId="2335"/>
    <cellStyle name="Обычный 3 6 4" xfId="2336"/>
    <cellStyle name="Обычный 3 6 4 10" xfId="2337"/>
    <cellStyle name="Обычный 3 6 4 11" xfId="2338"/>
    <cellStyle name="Обычный 3 6 4 12" xfId="2339"/>
    <cellStyle name="Обычный 3 6 4 13" xfId="2340"/>
    <cellStyle name="Обычный 3 6 4 14" xfId="2341"/>
    <cellStyle name="Обычный 3 6 4 15" xfId="2342"/>
    <cellStyle name="Обычный 3 6 4 16" xfId="2343"/>
    <cellStyle name="Обычный 3 6 4 2" xfId="2344"/>
    <cellStyle name="Обычный 3 6 4 3" xfId="2345"/>
    <cellStyle name="Обычный 3 6 4 4" xfId="2346"/>
    <cellStyle name="Обычный 3 6 4 5" xfId="2347"/>
    <cellStyle name="Обычный 3 6 4 6" xfId="2348"/>
    <cellStyle name="Обычный 3 6 4 7" xfId="2349"/>
    <cellStyle name="Обычный 3 6 4 8" xfId="2350"/>
    <cellStyle name="Обычный 3 6 4 9" xfId="2351"/>
    <cellStyle name="Обычный 3 6 5" xfId="2352"/>
    <cellStyle name="Обычный 3 6 5 10" xfId="2353"/>
    <cellStyle name="Обычный 3 6 5 11" xfId="2354"/>
    <cellStyle name="Обычный 3 6 5 12" xfId="2355"/>
    <cellStyle name="Обычный 3 6 5 13" xfId="2356"/>
    <cellStyle name="Обычный 3 6 5 14" xfId="2357"/>
    <cellStyle name="Обычный 3 6 5 15" xfId="2358"/>
    <cellStyle name="Обычный 3 6 5 16" xfId="2359"/>
    <cellStyle name="Обычный 3 6 5 2" xfId="2360"/>
    <cellStyle name="Обычный 3 6 5 3" xfId="2361"/>
    <cellStyle name="Обычный 3 6 5 4" xfId="2362"/>
    <cellStyle name="Обычный 3 6 5 5" xfId="2363"/>
    <cellStyle name="Обычный 3 6 5 6" xfId="2364"/>
    <cellStyle name="Обычный 3 6 5 7" xfId="2365"/>
    <cellStyle name="Обычный 3 6 5 8" xfId="2366"/>
    <cellStyle name="Обычный 3 6 5 9" xfId="2367"/>
    <cellStyle name="Обычный 3 6 6" xfId="2368"/>
    <cellStyle name="Обычный 3 6 6 10" xfId="2369"/>
    <cellStyle name="Обычный 3 6 6 11" xfId="2370"/>
    <cellStyle name="Обычный 3 6 6 12" xfId="2371"/>
    <cellStyle name="Обычный 3 6 6 13" xfId="2372"/>
    <cellStyle name="Обычный 3 6 6 14" xfId="2373"/>
    <cellStyle name="Обычный 3 6 6 15" xfId="2374"/>
    <cellStyle name="Обычный 3 6 6 16" xfId="2375"/>
    <cellStyle name="Обычный 3 6 6 2" xfId="2376"/>
    <cellStyle name="Обычный 3 6 6 3" xfId="2377"/>
    <cellStyle name="Обычный 3 6 6 4" xfId="2378"/>
    <cellStyle name="Обычный 3 6 6 5" xfId="2379"/>
    <cellStyle name="Обычный 3 6 6 6" xfId="2380"/>
    <cellStyle name="Обычный 3 6 6 7" xfId="2381"/>
    <cellStyle name="Обычный 3 6 6 8" xfId="2382"/>
    <cellStyle name="Обычный 3 6 6 9" xfId="2383"/>
    <cellStyle name="Обычный 3 6 7" xfId="2384"/>
    <cellStyle name="Обычный 3 6 7 10" xfId="2385"/>
    <cellStyle name="Обычный 3 6 7 11" xfId="2386"/>
    <cellStyle name="Обычный 3 6 7 12" xfId="2387"/>
    <cellStyle name="Обычный 3 6 7 13" xfId="2388"/>
    <cellStyle name="Обычный 3 6 7 14" xfId="2389"/>
    <cellStyle name="Обычный 3 6 7 15" xfId="2390"/>
    <cellStyle name="Обычный 3 6 7 16" xfId="2391"/>
    <cellStyle name="Обычный 3 6 7 2" xfId="2392"/>
    <cellStyle name="Обычный 3 6 7 3" xfId="2393"/>
    <cellStyle name="Обычный 3 6 7 4" xfId="2394"/>
    <cellStyle name="Обычный 3 6 7 5" xfId="2395"/>
    <cellStyle name="Обычный 3 6 7 6" xfId="2396"/>
    <cellStyle name="Обычный 3 6 7 7" xfId="2397"/>
    <cellStyle name="Обычный 3 6 7 8" xfId="2398"/>
    <cellStyle name="Обычный 3 6 7 9" xfId="2399"/>
    <cellStyle name="Обычный 3 6 8" xfId="2400"/>
    <cellStyle name="Обычный 3 6 8 10" xfId="2401"/>
    <cellStyle name="Обычный 3 6 8 11" xfId="2402"/>
    <cellStyle name="Обычный 3 6 8 12" xfId="2403"/>
    <cellStyle name="Обычный 3 6 8 13" xfId="2404"/>
    <cellStyle name="Обычный 3 6 8 14" xfId="2405"/>
    <cellStyle name="Обычный 3 6 8 15" xfId="2406"/>
    <cellStyle name="Обычный 3 6 8 16" xfId="2407"/>
    <cellStyle name="Обычный 3 6 8 2" xfId="2408"/>
    <cellStyle name="Обычный 3 6 8 3" xfId="2409"/>
    <cellStyle name="Обычный 3 6 8 4" xfId="2410"/>
    <cellStyle name="Обычный 3 6 8 5" xfId="2411"/>
    <cellStyle name="Обычный 3 6 8 6" xfId="2412"/>
    <cellStyle name="Обычный 3 6 8 7" xfId="2413"/>
    <cellStyle name="Обычный 3 6 8 8" xfId="2414"/>
    <cellStyle name="Обычный 3 6 8 9" xfId="2415"/>
    <cellStyle name="Обычный 3 6 9" xfId="2416"/>
    <cellStyle name="Обычный 3 7" xfId="2417"/>
    <cellStyle name="Обычный 3 7 10" xfId="2418"/>
    <cellStyle name="Обычный 3 7 11" xfId="2419"/>
    <cellStyle name="Обычный 3 7 12" xfId="2420"/>
    <cellStyle name="Обычный 3 7 13" xfId="2421"/>
    <cellStyle name="Обычный 3 7 14" xfId="2422"/>
    <cellStyle name="Обычный 3 7 15" xfId="2423"/>
    <cellStyle name="Обычный 3 7 16" xfId="2424"/>
    <cellStyle name="Обычный 3 7 17" xfId="2425"/>
    <cellStyle name="Обычный 3 7 18" xfId="2426"/>
    <cellStyle name="Обычный 3 7 19" xfId="2427"/>
    <cellStyle name="Обычный 3 7 2" xfId="2428"/>
    <cellStyle name="Обычный 3 7 2 10" xfId="2429"/>
    <cellStyle name="Обычный 3 7 2 11" xfId="2430"/>
    <cellStyle name="Обычный 3 7 2 12" xfId="2431"/>
    <cellStyle name="Обычный 3 7 2 13" xfId="2432"/>
    <cellStyle name="Обычный 3 7 2 14" xfId="2433"/>
    <cellStyle name="Обычный 3 7 2 15" xfId="2434"/>
    <cellStyle name="Обычный 3 7 2 16" xfId="2435"/>
    <cellStyle name="Обычный 3 7 2 2" xfId="2436"/>
    <cellStyle name="Обычный 3 7 2 3" xfId="2437"/>
    <cellStyle name="Обычный 3 7 2 4" xfId="2438"/>
    <cellStyle name="Обычный 3 7 2 5" xfId="2439"/>
    <cellStyle name="Обычный 3 7 2 6" xfId="2440"/>
    <cellStyle name="Обычный 3 7 2 7" xfId="2441"/>
    <cellStyle name="Обычный 3 7 2 8" xfId="2442"/>
    <cellStyle name="Обычный 3 7 2 9" xfId="2443"/>
    <cellStyle name="Обычный 3 7 20" xfId="2444"/>
    <cellStyle name="Обычный 3 7 21" xfId="2445"/>
    <cellStyle name="Обычный 3 7 22" xfId="2446"/>
    <cellStyle name="Обычный 3 7 23" xfId="2447"/>
    <cellStyle name="Обычный 3 7 24" xfId="2448"/>
    <cellStyle name="Обычный 3 7 25" xfId="2449"/>
    <cellStyle name="Обычный 3 7 3" xfId="2450"/>
    <cellStyle name="Обычный 3 7 3 10" xfId="2451"/>
    <cellStyle name="Обычный 3 7 3 11" xfId="2452"/>
    <cellStyle name="Обычный 3 7 3 12" xfId="2453"/>
    <cellStyle name="Обычный 3 7 3 13" xfId="2454"/>
    <cellStyle name="Обычный 3 7 3 14" xfId="2455"/>
    <cellStyle name="Обычный 3 7 3 15" xfId="2456"/>
    <cellStyle name="Обычный 3 7 3 16" xfId="2457"/>
    <cellStyle name="Обычный 3 7 3 2" xfId="2458"/>
    <cellStyle name="Обычный 3 7 3 3" xfId="2459"/>
    <cellStyle name="Обычный 3 7 3 4" xfId="2460"/>
    <cellStyle name="Обычный 3 7 3 5" xfId="2461"/>
    <cellStyle name="Обычный 3 7 3 6" xfId="2462"/>
    <cellStyle name="Обычный 3 7 3 7" xfId="2463"/>
    <cellStyle name="Обычный 3 7 3 8" xfId="2464"/>
    <cellStyle name="Обычный 3 7 3 9" xfId="2465"/>
    <cellStyle name="Обычный 3 7 4" xfId="2466"/>
    <cellStyle name="Обычный 3 7 4 10" xfId="2467"/>
    <cellStyle name="Обычный 3 7 4 11" xfId="2468"/>
    <cellStyle name="Обычный 3 7 4 12" xfId="2469"/>
    <cellStyle name="Обычный 3 7 4 13" xfId="2470"/>
    <cellStyle name="Обычный 3 7 4 14" xfId="2471"/>
    <cellStyle name="Обычный 3 7 4 15" xfId="2472"/>
    <cellStyle name="Обычный 3 7 4 16" xfId="2473"/>
    <cellStyle name="Обычный 3 7 4 2" xfId="2474"/>
    <cellStyle name="Обычный 3 7 4 3" xfId="2475"/>
    <cellStyle name="Обычный 3 7 4 4" xfId="2476"/>
    <cellStyle name="Обычный 3 7 4 5" xfId="2477"/>
    <cellStyle name="Обычный 3 7 4 6" xfId="2478"/>
    <cellStyle name="Обычный 3 7 4 7" xfId="2479"/>
    <cellStyle name="Обычный 3 7 4 8" xfId="2480"/>
    <cellStyle name="Обычный 3 7 4 9" xfId="2481"/>
    <cellStyle name="Обычный 3 7 5" xfId="2482"/>
    <cellStyle name="Обычный 3 7 5 10" xfId="2483"/>
    <cellStyle name="Обычный 3 7 5 11" xfId="2484"/>
    <cellStyle name="Обычный 3 7 5 12" xfId="2485"/>
    <cellStyle name="Обычный 3 7 5 13" xfId="2486"/>
    <cellStyle name="Обычный 3 7 5 14" xfId="2487"/>
    <cellStyle name="Обычный 3 7 5 15" xfId="2488"/>
    <cellStyle name="Обычный 3 7 5 16" xfId="2489"/>
    <cellStyle name="Обычный 3 7 5 2" xfId="2490"/>
    <cellStyle name="Обычный 3 7 5 3" xfId="2491"/>
    <cellStyle name="Обычный 3 7 5 4" xfId="2492"/>
    <cellStyle name="Обычный 3 7 5 5" xfId="2493"/>
    <cellStyle name="Обычный 3 7 5 6" xfId="2494"/>
    <cellStyle name="Обычный 3 7 5 7" xfId="2495"/>
    <cellStyle name="Обычный 3 7 5 8" xfId="2496"/>
    <cellStyle name="Обычный 3 7 5 9" xfId="2497"/>
    <cellStyle name="Обычный 3 7 6" xfId="2498"/>
    <cellStyle name="Обычный 3 7 6 10" xfId="2499"/>
    <cellStyle name="Обычный 3 7 6 11" xfId="2500"/>
    <cellStyle name="Обычный 3 7 6 12" xfId="2501"/>
    <cellStyle name="Обычный 3 7 6 13" xfId="2502"/>
    <cellStyle name="Обычный 3 7 6 14" xfId="2503"/>
    <cellStyle name="Обычный 3 7 6 15" xfId="2504"/>
    <cellStyle name="Обычный 3 7 6 16" xfId="2505"/>
    <cellStyle name="Обычный 3 7 6 2" xfId="2506"/>
    <cellStyle name="Обычный 3 7 6 3" xfId="2507"/>
    <cellStyle name="Обычный 3 7 6 4" xfId="2508"/>
    <cellStyle name="Обычный 3 7 6 5" xfId="2509"/>
    <cellStyle name="Обычный 3 7 6 6" xfId="2510"/>
    <cellStyle name="Обычный 3 7 6 7" xfId="2511"/>
    <cellStyle name="Обычный 3 7 6 8" xfId="2512"/>
    <cellStyle name="Обычный 3 7 6 9" xfId="2513"/>
    <cellStyle name="Обычный 3 7 7" xfId="2514"/>
    <cellStyle name="Обычный 3 7 7 10" xfId="2515"/>
    <cellStyle name="Обычный 3 7 7 11" xfId="2516"/>
    <cellStyle name="Обычный 3 7 7 12" xfId="2517"/>
    <cellStyle name="Обычный 3 7 7 13" xfId="2518"/>
    <cellStyle name="Обычный 3 7 7 14" xfId="2519"/>
    <cellStyle name="Обычный 3 7 7 15" xfId="2520"/>
    <cellStyle name="Обычный 3 7 7 16" xfId="2521"/>
    <cellStyle name="Обычный 3 7 7 2" xfId="2522"/>
    <cellStyle name="Обычный 3 7 7 3" xfId="2523"/>
    <cellStyle name="Обычный 3 7 7 4" xfId="2524"/>
    <cellStyle name="Обычный 3 7 7 5" xfId="2525"/>
    <cellStyle name="Обычный 3 7 7 6" xfId="2526"/>
    <cellStyle name="Обычный 3 7 7 7" xfId="2527"/>
    <cellStyle name="Обычный 3 7 7 8" xfId="2528"/>
    <cellStyle name="Обычный 3 7 7 9" xfId="2529"/>
    <cellStyle name="Обычный 3 7 8" xfId="2530"/>
    <cellStyle name="Обычный 3 7 8 10" xfId="2531"/>
    <cellStyle name="Обычный 3 7 8 11" xfId="2532"/>
    <cellStyle name="Обычный 3 7 8 12" xfId="2533"/>
    <cellStyle name="Обычный 3 7 8 13" xfId="2534"/>
    <cellStyle name="Обычный 3 7 8 14" xfId="2535"/>
    <cellStyle name="Обычный 3 7 8 15" xfId="2536"/>
    <cellStyle name="Обычный 3 7 8 16" xfId="2537"/>
    <cellStyle name="Обычный 3 7 8 2" xfId="2538"/>
    <cellStyle name="Обычный 3 7 8 3" xfId="2539"/>
    <cellStyle name="Обычный 3 7 8 4" xfId="2540"/>
    <cellStyle name="Обычный 3 7 8 5" xfId="2541"/>
    <cellStyle name="Обычный 3 7 8 6" xfId="2542"/>
    <cellStyle name="Обычный 3 7 8 7" xfId="2543"/>
    <cellStyle name="Обычный 3 7 8 8" xfId="2544"/>
    <cellStyle name="Обычный 3 7 8 9" xfId="2545"/>
    <cellStyle name="Обычный 3 7 9" xfId="2546"/>
    <cellStyle name="Обычный 3 8" xfId="2547"/>
    <cellStyle name="Обычный 3 8 10" xfId="2548"/>
    <cellStyle name="Обычный 3 8 11" xfId="2549"/>
    <cellStyle name="Обычный 3 8 12" xfId="2550"/>
    <cellStyle name="Обычный 3 8 13" xfId="2551"/>
    <cellStyle name="Обычный 3 8 14" xfId="2552"/>
    <cellStyle name="Обычный 3 8 15" xfId="2553"/>
    <cellStyle name="Обычный 3 8 16" xfId="2554"/>
    <cellStyle name="Обычный 3 8 2" xfId="2555"/>
    <cellStyle name="Обычный 3 8 3" xfId="2556"/>
    <cellStyle name="Обычный 3 8 4" xfId="2557"/>
    <cellStyle name="Обычный 3 8 5" xfId="2558"/>
    <cellStyle name="Обычный 3 8 6" xfId="2559"/>
    <cellStyle name="Обычный 3 8 7" xfId="2560"/>
    <cellStyle name="Обычный 3 8 8" xfId="2561"/>
    <cellStyle name="Обычный 3 8 9" xfId="2562"/>
    <cellStyle name="Обычный 3 9" xfId="2563"/>
    <cellStyle name="Обычный 3 9 10" xfId="2564"/>
    <cellStyle name="Обычный 3 9 11" xfId="2565"/>
    <cellStyle name="Обычный 3 9 12" xfId="2566"/>
    <cellStyle name="Обычный 3 9 13" xfId="2567"/>
    <cellStyle name="Обычный 3 9 14" xfId="2568"/>
    <cellStyle name="Обычный 3 9 15" xfId="2569"/>
    <cellStyle name="Обычный 3 9 16" xfId="2570"/>
    <cellStyle name="Обычный 3 9 2" xfId="2571"/>
    <cellStyle name="Обычный 3 9 3" xfId="2572"/>
    <cellStyle name="Обычный 3 9 4" xfId="2573"/>
    <cellStyle name="Обычный 3 9 5" xfId="2574"/>
    <cellStyle name="Обычный 3 9 6" xfId="2575"/>
    <cellStyle name="Обычный 3 9 7" xfId="2576"/>
    <cellStyle name="Обычный 3 9 8" xfId="2577"/>
    <cellStyle name="Обычный 3 9 9" xfId="2578"/>
    <cellStyle name="Обычный 3_Баланс2012_15.06.11" xfId="2579"/>
    <cellStyle name="Обычный 4" xfId="2580"/>
    <cellStyle name="Обычный 4 2" xfId="2581"/>
    <cellStyle name="Обычный 4 2 2" xfId="2582"/>
    <cellStyle name="Обычный 4 3" xfId="2583"/>
    <cellStyle name="Обычный 4 3 2" xfId="2584"/>
    <cellStyle name="Обычный 4_Баланс2012_15.06.11" xfId="2585"/>
    <cellStyle name="Обычный 5" xfId="2586"/>
    <cellStyle name="Обычный 5 2" xfId="2587"/>
    <cellStyle name="Обычный 5_Итоги тариф. кампании 2011_коррек" xfId="2588"/>
    <cellStyle name="Обычный 6" xfId="2589"/>
    <cellStyle name="Обычный 6 10" xfId="2590"/>
    <cellStyle name="Обычный 6 2" xfId="2591"/>
    <cellStyle name="Обычный 6 2 2" xfId="2592"/>
    <cellStyle name="Обычный 6 3" xfId="2593"/>
    <cellStyle name="Обычный 6 4" xfId="2594"/>
    <cellStyle name="Обычный 6 5" xfId="2595"/>
    <cellStyle name="Обычный 6 6" xfId="2596"/>
    <cellStyle name="Обычный 6 7" xfId="2597"/>
    <cellStyle name="Обычный 6 8" xfId="2598"/>
    <cellStyle name="Обычный 6 9" xfId="2599"/>
    <cellStyle name="Обычный 6_Итоги тариф. кампании 2011_коррек" xfId="2600"/>
    <cellStyle name="Обычный 7" xfId="2601"/>
    <cellStyle name="Обычный 7 2" xfId="2602"/>
    <cellStyle name="Обычный 7 2 2" xfId="2603"/>
    <cellStyle name="Обычный 7 3" xfId="2604"/>
    <cellStyle name="Обычный 7 4" xfId="2605"/>
    <cellStyle name="Обычный 7 5" xfId="2606"/>
    <cellStyle name="Обычный 7_Итоги тариф. кампании 2011_коррек" xfId="2607"/>
    <cellStyle name="Обычный 8" xfId="2608"/>
    <cellStyle name="Обычный 8 2" xfId="2609"/>
    <cellStyle name="Обычный 8 2 2" xfId="2610"/>
    <cellStyle name="Обычный 8 3" xfId="2611"/>
    <cellStyle name="Обычный 9" xfId="2612"/>
    <cellStyle name="Обычный 9 2" xfId="2613"/>
    <cellStyle name="Обычный 9 2 2" xfId="2614"/>
    <cellStyle name="Обычный 9 3" xfId="2615"/>
    <cellStyle name="Обычный_FORM3.1" xfId="2616"/>
    <cellStyle name="Обычный_methodics230802-pril1-3" xfId="2617"/>
    <cellStyle name="Обычный_Книга1" xfId="2618"/>
    <cellStyle name="Обычный_Книга1_1" xfId="2776"/>
    <cellStyle name="Обычный_Корректировка tmp70_Объёмы факт2011 план2013испр" xfId="2779"/>
    <cellStyle name="Обычный_Лист1" xfId="2619"/>
    <cellStyle name="Обычный_Приложения 1-2" xfId="2620"/>
    <cellStyle name="Обычный_Таблицы к методике ФЭК" xfId="2621"/>
    <cellStyle name="Обычный_Тариф коэффициентБио" xfId="2775"/>
    <cellStyle name="Обычный_тарифы на 2002г с 1-01" xfId="2622"/>
    <cellStyle name="Плохой 10" xfId="2623"/>
    <cellStyle name="Плохой 11" xfId="2624"/>
    <cellStyle name="Плохой 2" xfId="2625"/>
    <cellStyle name="Плохой 3" xfId="2626"/>
    <cellStyle name="Плохой 4" xfId="2627"/>
    <cellStyle name="Плохой 5" xfId="2628"/>
    <cellStyle name="Плохой 6" xfId="2629"/>
    <cellStyle name="Плохой 7" xfId="2630"/>
    <cellStyle name="Плохой 8" xfId="2631"/>
    <cellStyle name="Плохой 9" xfId="2632"/>
    <cellStyle name="По центру с переносом" xfId="2633"/>
    <cellStyle name="По центру с переносом 2" xfId="2634"/>
    <cellStyle name="По ширине с переносом" xfId="2635"/>
    <cellStyle name="По ширине с переносом 2" xfId="2636"/>
    <cellStyle name="Поле ввода" xfId="2637"/>
    <cellStyle name="Пояснение 10" xfId="2638"/>
    <cellStyle name="Пояснение 11" xfId="2639"/>
    <cellStyle name="Пояснение 2" xfId="2640"/>
    <cellStyle name="Пояснение 3" xfId="2641"/>
    <cellStyle name="Пояснение 4" xfId="2642"/>
    <cellStyle name="Пояснение 5" xfId="2643"/>
    <cellStyle name="Пояснение 6" xfId="2644"/>
    <cellStyle name="Пояснение 7" xfId="2645"/>
    <cellStyle name="Пояснение 8" xfId="2646"/>
    <cellStyle name="Пояснение 9" xfId="2647"/>
    <cellStyle name="Примечание 10" xfId="2648"/>
    <cellStyle name="Примечание 11" xfId="2649"/>
    <cellStyle name="Примечание 12" xfId="2650"/>
    <cellStyle name="Примечание 2" xfId="2651"/>
    <cellStyle name="Примечание 2 2" xfId="2652"/>
    <cellStyle name="Примечание 2 3" xfId="2653"/>
    <cellStyle name="Примечание 2 4" xfId="2654"/>
    <cellStyle name="Примечание 2 5" xfId="2655"/>
    <cellStyle name="Примечание 3" xfId="2656"/>
    <cellStyle name="Примечание 3 2" xfId="2657"/>
    <cellStyle name="Примечание 4" xfId="2658"/>
    <cellStyle name="Примечание 5" xfId="2659"/>
    <cellStyle name="Примечание 6" xfId="2660"/>
    <cellStyle name="Примечание 7" xfId="2661"/>
    <cellStyle name="Примечание 8" xfId="2662"/>
    <cellStyle name="Примечание 9" xfId="2663"/>
    <cellStyle name="Процентный" xfId="2664" builtinId="5"/>
    <cellStyle name="Процентный 10" xfId="2665"/>
    <cellStyle name="Процентный 11" xfId="2666"/>
    <cellStyle name="Процентный 2" xfId="2667"/>
    <cellStyle name="Процентный 2 2" xfId="2668"/>
    <cellStyle name="Процентный 2 2 2" xfId="2669"/>
    <cellStyle name="Процентный 2 2 2 2" xfId="2670"/>
    <cellStyle name="Процентный 2 2 3" xfId="2671"/>
    <cellStyle name="Процентный 2 3" xfId="2672"/>
    <cellStyle name="Процентный 2 3 2" xfId="2673"/>
    <cellStyle name="Процентный 2 4" xfId="2674"/>
    <cellStyle name="Процентный 2 4 2" xfId="2675"/>
    <cellStyle name="Процентный 2 4 2 2" xfId="2676"/>
    <cellStyle name="Процентный 2 4 3" xfId="2677"/>
    <cellStyle name="Процентный 2 5" xfId="2678"/>
    <cellStyle name="Процентный 2 5 2" xfId="2679"/>
    <cellStyle name="Процентный 2 6" xfId="2680"/>
    <cellStyle name="Процентный 2 7" xfId="2681"/>
    <cellStyle name="Процентный 3" xfId="2682"/>
    <cellStyle name="Процентный 3 2" xfId="2683"/>
    <cellStyle name="Процентный 3 3" xfId="2684"/>
    <cellStyle name="Процентный 4" xfId="2685"/>
    <cellStyle name="Процентный 4 2" xfId="2686"/>
    <cellStyle name="Процентный 5" xfId="2687"/>
    <cellStyle name="Процентный 6" xfId="2688"/>
    <cellStyle name="Процентный 6 2" xfId="2689"/>
    <cellStyle name="Процентный 7" xfId="2690"/>
    <cellStyle name="Процентный 8" xfId="2691"/>
    <cellStyle name="Процентный 9" xfId="2692"/>
    <cellStyle name="Процентный 9 2" xfId="2693"/>
    <cellStyle name="Связанная ячейка 10" xfId="2694"/>
    <cellStyle name="Связанная ячейка 11" xfId="2695"/>
    <cellStyle name="Связанная ячейка 2" xfId="2696"/>
    <cellStyle name="Связанная ячейка 3" xfId="2697"/>
    <cellStyle name="Связанная ячейка 4" xfId="2698"/>
    <cellStyle name="Связанная ячейка 5" xfId="2699"/>
    <cellStyle name="Связанная ячейка 6" xfId="2700"/>
    <cellStyle name="Связанная ячейка 7" xfId="2701"/>
    <cellStyle name="Связанная ячейка 8" xfId="2702"/>
    <cellStyle name="Связанная ячейка 9" xfId="2703"/>
    <cellStyle name="Стиль 1" xfId="2704"/>
    <cellStyle name="Стиль 1 2" xfId="2705"/>
    <cellStyle name="Стиль 1_AP RAB 36" xfId="2706"/>
    <cellStyle name="Стиль 2" xfId="2707"/>
    <cellStyle name="ТЕКСТ" xfId="2708"/>
    <cellStyle name="Текст предупреждения 10" xfId="2709"/>
    <cellStyle name="Текст предупреждения 11" xfId="2710"/>
    <cellStyle name="Текст предупреждения 2" xfId="2711"/>
    <cellStyle name="Текст предупреждения 3" xfId="2712"/>
    <cellStyle name="Текст предупреждения 4" xfId="2713"/>
    <cellStyle name="Текст предупреждения 5" xfId="2714"/>
    <cellStyle name="Текст предупреждения 6" xfId="2715"/>
    <cellStyle name="Текст предупреждения 7" xfId="2716"/>
    <cellStyle name="Текст предупреждения 8" xfId="2717"/>
    <cellStyle name="Текст предупреждения 9" xfId="2718"/>
    <cellStyle name="Текстовый" xfId="2719"/>
    <cellStyle name="Текстовый 2" xfId="2720"/>
    <cellStyle name="Тысячи [0]_1 (2)" xfId="2721"/>
    <cellStyle name="Тысячи_1F019502" xfId="2722"/>
    <cellStyle name="Финансовый 2" xfId="2723"/>
    <cellStyle name="Финансовый 2 10" xfId="2724"/>
    <cellStyle name="Финансовый 2 2" xfId="2725"/>
    <cellStyle name="Финансовый 2 2 2" xfId="2726"/>
    <cellStyle name="Финансовый 2 3" xfId="2727"/>
    <cellStyle name="Финансовый 2 3 2" xfId="2728"/>
    <cellStyle name="Финансовый 2_ТМ передача 31.03.2011 (Морд)" xfId="2729"/>
    <cellStyle name="Финансовый 22" xfId="2730"/>
    <cellStyle name="Финансовый 3" xfId="2731"/>
    <cellStyle name="Финансовый 3 2" xfId="2732"/>
    <cellStyle name="Финансовый 4" xfId="2733"/>
    <cellStyle name="Финансовый 4 2" xfId="2734"/>
    <cellStyle name="Финансовый 4 3" xfId="2735"/>
    <cellStyle name="Финансовый 4_ТМ передача 31.03.2011 (Морд)" xfId="2736"/>
    <cellStyle name="Финансовый 5" xfId="2737"/>
    <cellStyle name="Финансовый 5 2" xfId="2738"/>
    <cellStyle name="Финансовый 5 3" xfId="2739"/>
    <cellStyle name="Финансовый 6" xfId="2740"/>
    <cellStyle name="Финансовый 6 2" xfId="2741"/>
    <cellStyle name="Финансовый 6 3" xfId="2742"/>
    <cellStyle name="Финансовый 7" xfId="2743"/>
    <cellStyle name="Финансовый 7 2" xfId="2744"/>
    <cellStyle name="Финансовый 8" xfId="2745"/>
    <cellStyle name="Финансовый 8 2" xfId="2746"/>
    <cellStyle name="Финансовый 9" xfId="2747"/>
    <cellStyle name="Формула" xfId="2748"/>
    <cellStyle name="Формула 2" xfId="2749"/>
    <cellStyle name="Формула 3" xfId="2750"/>
    <cellStyle name="Формула 3 2" xfId="2751"/>
    <cellStyle name="Формула 4" xfId="2752"/>
    <cellStyle name="Формула_5" xfId="2753"/>
    <cellStyle name="ФормулаВБ" xfId="2754"/>
    <cellStyle name="ФормулаВБ 2" xfId="2755"/>
    <cellStyle name="ФормулаВБ_Книга1" xfId="2756"/>
    <cellStyle name="ФормулаНаКонтроль" xfId="2757"/>
    <cellStyle name="ФормулаНаКонтроль 2" xfId="2758"/>
    <cellStyle name="ФормулаНаКонтроль_GRES.2007.5" xfId="2759"/>
    <cellStyle name="Хороший 10" xfId="2760"/>
    <cellStyle name="Хороший 11" xfId="2761"/>
    <cellStyle name="Хороший 2" xfId="2762"/>
    <cellStyle name="Хороший 3" xfId="2763"/>
    <cellStyle name="Хороший 4" xfId="2764"/>
    <cellStyle name="Хороший 5" xfId="2765"/>
    <cellStyle name="Хороший 6" xfId="2766"/>
    <cellStyle name="Хороший 7" xfId="2767"/>
    <cellStyle name="Хороший 8" xfId="2768"/>
    <cellStyle name="Хороший 9" xfId="2769"/>
    <cellStyle name="Цифры по центру с десятыми" xfId="2770"/>
    <cellStyle name="Цифры по центру с десятыми 2" xfId="2771"/>
    <cellStyle name="Числовой" xfId="2772"/>
    <cellStyle name="Џђћ–…ќ’ќ›‰" xfId="2773"/>
    <cellStyle name="Шапка таблицы" xfId="2774"/>
  </cellStyles>
  <dxfs count="15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7.wmf"/><Relationship Id="rId5" Type="http://schemas.openxmlformats.org/officeDocument/2006/relationships/image" Target="../media/image6.wmf"/><Relationship Id="rId4" Type="http://schemas.openxmlformats.org/officeDocument/2006/relationships/image" Target="../media/image5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wmf"/><Relationship Id="rId3" Type="http://schemas.openxmlformats.org/officeDocument/2006/relationships/image" Target="../media/image10.wmf"/><Relationship Id="rId7" Type="http://schemas.openxmlformats.org/officeDocument/2006/relationships/image" Target="../media/image14.png"/><Relationship Id="rId2" Type="http://schemas.openxmlformats.org/officeDocument/2006/relationships/image" Target="../media/image9.wmf"/><Relationship Id="rId1" Type="http://schemas.openxmlformats.org/officeDocument/2006/relationships/image" Target="../media/image8.wmf"/><Relationship Id="rId6" Type="http://schemas.openxmlformats.org/officeDocument/2006/relationships/image" Target="../media/image13.wmf"/><Relationship Id="rId5" Type="http://schemas.openxmlformats.org/officeDocument/2006/relationships/image" Target="../media/image12.wmf"/><Relationship Id="rId4" Type="http://schemas.openxmlformats.org/officeDocument/2006/relationships/image" Target="../media/image1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647436</xdr:colOff>
      <xdr:row>15</xdr:row>
      <xdr:rowOff>161925</xdr:rowOff>
    </xdr:to>
    <xdr:pic>
      <xdr:nvPicPr>
        <xdr:cNvPr id="2" name="Picture 1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3047736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5</xdr:row>
      <xdr:rowOff>228600</xdr:rowOff>
    </xdr:from>
    <xdr:to>
      <xdr:col>3</xdr:col>
      <xdr:colOff>0</xdr:colOff>
      <xdr:row>5</xdr:row>
      <xdr:rowOff>590550</xdr:rowOff>
    </xdr:to>
    <xdr:pic>
      <xdr:nvPicPr>
        <xdr:cNvPr id="15673" name="Picture 5">
          <a:extLst>
            <a:ext uri="{FF2B5EF4-FFF2-40B4-BE49-F238E27FC236}">
              <a16:creationId xmlns:a16="http://schemas.microsoft.com/office/drawing/2014/main" xmlns="" id="{00000000-0008-0000-1C00-000039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866900"/>
          <a:ext cx="6191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8</xdr:row>
      <xdr:rowOff>57150</xdr:rowOff>
    </xdr:from>
    <xdr:to>
      <xdr:col>2</xdr:col>
      <xdr:colOff>619125</xdr:colOff>
      <xdr:row>8</xdr:row>
      <xdr:rowOff>342900</xdr:rowOff>
    </xdr:to>
    <xdr:pic>
      <xdr:nvPicPr>
        <xdr:cNvPr id="15674" name="Picture 6">
          <a:extLst>
            <a:ext uri="{FF2B5EF4-FFF2-40B4-BE49-F238E27FC236}">
              <a16:creationId xmlns:a16="http://schemas.microsoft.com/office/drawing/2014/main" xmlns="" id="{00000000-0008-0000-1C00-00003A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71775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41</xdr:row>
      <xdr:rowOff>342900</xdr:rowOff>
    </xdr:from>
    <xdr:to>
      <xdr:col>3</xdr:col>
      <xdr:colOff>28575</xdr:colOff>
      <xdr:row>41</xdr:row>
      <xdr:rowOff>581025</xdr:rowOff>
    </xdr:to>
    <xdr:pic>
      <xdr:nvPicPr>
        <xdr:cNvPr id="15675" name="Picture 16">
          <a:extLst>
            <a:ext uri="{FF2B5EF4-FFF2-40B4-BE49-F238E27FC236}">
              <a16:creationId xmlns:a16="http://schemas.microsoft.com/office/drawing/2014/main" xmlns="" id="{00000000-0008-0000-1C00-00003B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03155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3200400</xdr:colOff>
      <xdr:row>8</xdr:row>
      <xdr:rowOff>409575</xdr:rowOff>
    </xdr:from>
    <xdr:to>
      <xdr:col>2</xdr:col>
      <xdr:colOff>723900</xdr:colOff>
      <xdr:row>8</xdr:row>
      <xdr:rowOff>676275</xdr:rowOff>
    </xdr:to>
    <xdr:pic>
      <xdr:nvPicPr>
        <xdr:cNvPr id="15676" name="Picture 33">
          <a:extLst>
            <a:ext uri="{FF2B5EF4-FFF2-40B4-BE49-F238E27FC236}">
              <a16:creationId xmlns:a16="http://schemas.microsoft.com/office/drawing/2014/main" xmlns="" id="{00000000-0008-0000-1C00-00003C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3124200"/>
          <a:ext cx="771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3228975</xdr:colOff>
      <xdr:row>9</xdr:row>
      <xdr:rowOff>85725</xdr:rowOff>
    </xdr:from>
    <xdr:to>
      <xdr:col>2</xdr:col>
      <xdr:colOff>666750</xdr:colOff>
      <xdr:row>10</xdr:row>
      <xdr:rowOff>38100</xdr:rowOff>
    </xdr:to>
    <xdr:pic>
      <xdr:nvPicPr>
        <xdr:cNvPr id="15677" name="Picture 34">
          <a:extLst>
            <a:ext uri="{FF2B5EF4-FFF2-40B4-BE49-F238E27FC236}">
              <a16:creationId xmlns:a16="http://schemas.microsoft.com/office/drawing/2014/main" xmlns="" id="{00000000-0008-0000-1C00-00003D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3714750"/>
          <a:ext cx="685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10</xdr:row>
      <xdr:rowOff>285750</xdr:rowOff>
    </xdr:from>
    <xdr:to>
      <xdr:col>2</xdr:col>
      <xdr:colOff>771525</xdr:colOff>
      <xdr:row>10</xdr:row>
      <xdr:rowOff>685800</xdr:rowOff>
    </xdr:to>
    <xdr:pic>
      <xdr:nvPicPr>
        <xdr:cNvPr id="15678" name="Picture 57">
          <a:extLst>
            <a:ext uri="{FF2B5EF4-FFF2-40B4-BE49-F238E27FC236}">
              <a16:creationId xmlns:a16="http://schemas.microsoft.com/office/drawing/2014/main" xmlns="" id="{00000000-0008-0000-1C00-00003E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4286250"/>
          <a:ext cx="6667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4</xdr:row>
      <xdr:rowOff>38100</xdr:rowOff>
    </xdr:from>
    <xdr:to>
      <xdr:col>2</xdr:col>
      <xdr:colOff>647700</xdr:colOff>
      <xdr:row>4</xdr:row>
      <xdr:rowOff>266700</xdr:rowOff>
    </xdr:to>
    <xdr:sp macro="" textlink="">
      <xdr:nvSpPr>
        <xdr:cNvPr id="16853" name="AutoShape 921">
          <a:extLst>
            <a:ext uri="{FF2B5EF4-FFF2-40B4-BE49-F238E27FC236}">
              <a16:creationId xmlns:a16="http://schemas.microsoft.com/office/drawing/2014/main" xmlns="" id="{00000000-0008-0000-1D00-0000D5410000}"/>
            </a:ext>
          </a:extLst>
        </xdr:cNvPr>
        <xdr:cNvSpPr>
          <a:spLocks noChangeAspect="1" noChangeArrowheads="1"/>
        </xdr:cNvSpPr>
      </xdr:nvSpPr>
      <xdr:spPr bwMode="auto">
        <a:xfrm>
          <a:off x="3552825" y="1581150"/>
          <a:ext cx="3333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16</xdr:row>
      <xdr:rowOff>133350</xdr:rowOff>
    </xdr:from>
    <xdr:to>
      <xdr:col>2</xdr:col>
      <xdr:colOff>533400</xdr:colOff>
      <xdr:row>16</xdr:row>
      <xdr:rowOff>361950</xdr:rowOff>
    </xdr:to>
    <xdr:pic>
      <xdr:nvPicPr>
        <xdr:cNvPr id="16854" name="Picture 1">
          <a:extLst>
            <a:ext uri="{FF2B5EF4-FFF2-40B4-BE49-F238E27FC236}">
              <a16:creationId xmlns:a16="http://schemas.microsoft.com/office/drawing/2014/main" xmlns="" id="{00000000-0008-0000-1D00-0000D6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5257800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17</xdr:row>
      <xdr:rowOff>47625</xdr:rowOff>
    </xdr:from>
    <xdr:to>
      <xdr:col>2</xdr:col>
      <xdr:colOff>628650</xdr:colOff>
      <xdr:row>17</xdr:row>
      <xdr:rowOff>276225</xdr:rowOff>
    </xdr:to>
    <xdr:pic>
      <xdr:nvPicPr>
        <xdr:cNvPr id="16855" name="Picture 4">
          <a:extLst>
            <a:ext uri="{FF2B5EF4-FFF2-40B4-BE49-F238E27FC236}">
              <a16:creationId xmlns:a16="http://schemas.microsoft.com/office/drawing/2014/main" xmlns="" id="{00000000-0008-0000-1D00-0000D7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657850"/>
          <a:ext cx="295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3</xdr:row>
      <xdr:rowOff>47625</xdr:rowOff>
    </xdr:from>
    <xdr:to>
      <xdr:col>2</xdr:col>
      <xdr:colOff>533400</xdr:colOff>
      <xdr:row>3</xdr:row>
      <xdr:rowOff>276225</xdr:rowOff>
    </xdr:to>
    <xdr:pic>
      <xdr:nvPicPr>
        <xdr:cNvPr id="16856" name="Picture 8">
          <a:extLst>
            <a:ext uri="{FF2B5EF4-FFF2-40B4-BE49-F238E27FC236}">
              <a16:creationId xmlns:a16="http://schemas.microsoft.com/office/drawing/2014/main" xmlns="" id="{00000000-0008-0000-1D00-0000D8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1266825"/>
          <a:ext cx="295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5</xdr:row>
      <xdr:rowOff>28575</xdr:rowOff>
    </xdr:from>
    <xdr:to>
      <xdr:col>2</xdr:col>
      <xdr:colOff>581025</xdr:colOff>
      <xdr:row>5</xdr:row>
      <xdr:rowOff>257175</xdr:rowOff>
    </xdr:to>
    <xdr:pic>
      <xdr:nvPicPr>
        <xdr:cNvPr id="16857" name="Picture 17">
          <a:extLst>
            <a:ext uri="{FF2B5EF4-FFF2-40B4-BE49-F238E27FC236}">
              <a16:creationId xmlns:a16="http://schemas.microsoft.com/office/drawing/2014/main" xmlns="" id="{00000000-0008-0000-1D00-0000D9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2057400"/>
          <a:ext cx="2571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6</xdr:row>
      <xdr:rowOff>19050</xdr:rowOff>
    </xdr:from>
    <xdr:to>
      <xdr:col>2</xdr:col>
      <xdr:colOff>752475</xdr:colOff>
      <xdr:row>7</xdr:row>
      <xdr:rowOff>0</xdr:rowOff>
    </xdr:to>
    <xdr:pic>
      <xdr:nvPicPr>
        <xdr:cNvPr id="16858" name="Picture 19">
          <a:extLst>
            <a:ext uri="{FF2B5EF4-FFF2-40B4-BE49-F238E27FC236}">
              <a16:creationId xmlns:a16="http://schemas.microsoft.com/office/drawing/2014/main" xmlns="" id="{00000000-0008-0000-1D00-0000DA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33650"/>
          <a:ext cx="4191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7</xdr:row>
      <xdr:rowOff>104775</xdr:rowOff>
    </xdr:from>
    <xdr:to>
      <xdr:col>2</xdr:col>
      <xdr:colOff>657225</xdr:colOff>
      <xdr:row>7</xdr:row>
      <xdr:rowOff>333375</xdr:rowOff>
    </xdr:to>
    <xdr:pic>
      <xdr:nvPicPr>
        <xdr:cNvPr id="16859" name="Picture 20">
          <a:extLst>
            <a:ext uri="{FF2B5EF4-FFF2-40B4-BE49-F238E27FC236}">
              <a16:creationId xmlns:a16="http://schemas.microsoft.com/office/drawing/2014/main" xmlns="" id="{00000000-0008-0000-1D00-0000DB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2886075"/>
          <a:ext cx="409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8</xdr:row>
      <xdr:rowOff>76200</xdr:rowOff>
    </xdr:from>
    <xdr:to>
      <xdr:col>2</xdr:col>
      <xdr:colOff>723900</xdr:colOff>
      <xdr:row>8</xdr:row>
      <xdr:rowOff>276225</xdr:rowOff>
    </xdr:to>
    <xdr:pic>
      <xdr:nvPicPr>
        <xdr:cNvPr id="16860" name="Picture 33">
          <a:extLst>
            <a:ext uri="{FF2B5EF4-FFF2-40B4-BE49-F238E27FC236}">
              <a16:creationId xmlns:a16="http://schemas.microsoft.com/office/drawing/2014/main" xmlns="" id="{00000000-0008-0000-1D00-0000DC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3343275"/>
          <a:ext cx="447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4</xdr:row>
      <xdr:rowOff>19050</xdr:rowOff>
    </xdr:from>
    <xdr:to>
      <xdr:col>2</xdr:col>
      <xdr:colOff>561975</xdr:colOff>
      <xdr:row>4</xdr:row>
      <xdr:rowOff>247650</xdr:rowOff>
    </xdr:to>
    <xdr:pic>
      <xdr:nvPicPr>
        <xdr:cNvPr id="16861" name="Рисунок 10">
          <a:extLst>
            <a:ext uri="{FF2B5EF4-FFF2-40B4-BE49-F238E27FC236}">
              <a16:creationId xmlns:a16="http://schemas.microsoft.com/office/drawing/2014/main" xmlns="" id="{00000000-0008-0000-1D00-0000DD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562100"/>
          <a:ext cx="2857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86;&#1088;&#1084;&#1072;46/46EE-Peredacha/46EE-Peredacha%20&#1073;&#1086;&#1083;&#1074;&#1072;&#1085;&#1082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9;&#1100;&#1082;&#1080;&#1085;/_&#1069;&#1051;&#1045;&#1050;&#1058;&#1056;&#1048;&#1050;&#1040;/&#1056;&#1077;&#1075;&#1091;&#1083;&#1080;&#1088;&#1086;&#1074;&#1072;&#1085;&#1080;&#1077;-2012/&#1050;&#1086;&#1090;&#1077;&#1083;%202012/_&#1055;&#1077;&#1088;&#1077;&#1089;&#1084;&#1086;&#1090;&#1088;%20&#1076;&#1086;%201%20&#1072;&#1087;&#1088;&#1077;&#1083;&#1103;%202012%20&#1089;%2001%20&#1080;&#1102;&#1085;&#1103;%202012/&#1042;%20&#1060;&#1057;&#1058;%2025052012/PREDEL.PEREDACHA.2012(v2.2)%202012-2017_26.05.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iblioteka/&#1052;&#1054;&#1053;&#1048;&#1058;&#1054;&#1056;&#1048;&#1053;&#1043;&#1048;%20&#1060;&#1057;&#1058;/2012/&#1052;&#1086;&#1085;&#1080;&#1090;&#1086;&#1088;&#1080;&#1085;&#1075;%20&#1090;&#1072;&#1088;&#1080;&#1092;&#1086;&#1074;%20&#1085;&#1072;%20&#1087;&#1077;&#1088;&#1077;&#1076;&#1072;&#1095;&#1091;%20&#1101;&#1101;%202012%20&#1076;&#1086;%2020%20&#1085;&#1086;&#1103;&#1073;&#1088;&#1103;%202012/&#1054;&#1090;&#1087;&#1088;&#1072;&#1074;&#1083;&#1077;&#1085;&#1086;%20&#1074;%20&#1060;&#1057;&#1058;/PREDEL.PEREDACHA.ITOG2012(v1.1)%202611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rina/&#1056;&#1072;&#1073;&#1086;&#1095;&#1080;&#1081;%20&#1089;&#1090;&#1086;&#1083;/46EP.ST.06.2013(v1.0)&#1052;&#1059;_&#1052;&#1055;&#1046;&#1050;&#1061;_&#1043;&#1091;&#1089;&#1100;-&#1046;&#1077;&#1083;&#1077;&#1079;&#1085;&#1099;&#108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&#1052;&#1086;&#1080;%20&#1076;&#1086;&#1082;&#1091;&#1084;&#1077;&#1085;&#1090;&#1099;\&#1047;&#1072;&#1075;&#1088;&#1091;&#1079;&#1082;&#1080;\Attachments_nazarova@rek.ryazan.ru_2014-03-28_16-07-51\&#1042;&#1083;&#1072;&#1076;&#1084;&#1080;&#1084;&#1080;&#1088;\_pso_elektronnyj_format_na_2014_god%20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42;&#1083;&#1072;&#1076;&#1084;&#1080;&#1084;&#1080;&#1088;/_pso_elektronnyj_format_na_2014_god%20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USERS\5%20&#1058;&#1045;&#1055;&#1051;&#1054;&#1042;&#1040;&#1071;%20&#1069;&#1053;&#1045;&#1056;&#1043;&#1048;&#1071;\&#1069;&#1082;&#1089;&#1087;&#1077;&#1088;&#1090;&#1080;&#1079;&#1072;%202007\&#1090;&#1072;&#1073;&#1083;&#1080;&#1094;&#1072;%20&#1092;&#1089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59;%20&#1052;&#1055;&#1046;&#1050;&#1061;\2010&#1056;&#1069;&#1050;\&#1074;%20&#1056;&#1069;&#1050;%202009\Documents%20and%20Settings\Rover\&#1056;&#1072;&#1073;&#1086;&#1095;&#1080;&#1081;%20&#1089;&#1090;&#1086;&#1083;\&#1084;&#1080;&#1085;&#1080;&#1090;&#1101;&#1089;\&#1073;&#1086;&#1083;&#1074;&#1072;&#1085;&#1082;&#1072;\&#1101;&#1083;&#1077;&#1082;&#1090;&#1088;&#1086;&#1087;&#1086;&#1075;&#1088;&#1091;&#1079;&#1095;&#1080;&#1082;_&#1076;&#1083;&#1103;%20&#1054;&#1082;&#1089;&#1072;&#1085;&#1099;-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Rar$DIa4896.39567/&#1056;&#1072;&#1089;&#1095;&#1077;&#1090;&#1085;&#1099;&#1081;%20&#1084;&#1086;&#1076;&#1091;&#1083;&#1100;%20&#1043;&#1091;&#1089;&#1100;%20&#1043;&#1086;&#1088;&#1076;&#1077;&#1077;&#1074;&#1086;&#1081;%20&#1085;&#1072;%20202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8;&#1084;&#1091;&#1097;&#1077;&#1089;&#1090;&#1074;&#1086;\&#1056;&#1072;&#1089;&#1095;&#1105;&#1090;&#1099;%20&#1085;&#1072;%202020-2024\&#1056;&#1072;&#1089;&#1095;&#1105;&#1090;&#1099;%20&#1085;&#1072;%202022%20&#1075;&#1086;&#1076;\&#1042;%20&#1088;&#1072;&#1073;&#1086;&#1090;&#1077;\&#1055;&#1086;&#1090;&#1088;&#1077;&#1073;&#1083;&#1077;&#1085;&#1080;&#1077;%20&#1069;%20&#1101;&#1085;&#1077;&#1088;&#1075;&#1080;&#1080;%2020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Rar$DIa4896.39567/&#1056;&#1072;&#1089;&#1095;&#1077;&#1090;&#1085;&#1099;&#1081;+&#1084;&#1086;&#1076;&#1091;&#1083;&#1100;+&#1043;&#1091;&#1089;&#1100;+&#1043;&#1086;&#1088;&#1076;&#1077;&#1077;&#1074;&#1086;&#1081;+&#1085;&#1072;+2022%20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Rar$DIa4896.39567/&#1056;&#1072;&#1089;&#1095;&#1077;&#1090;&#1085;&#1099;&#1081;+&#1084;&#1086;&#1076;&#1091;&#1083;&#1100;&#1043;&#1086;&#1088;&#1076;&#1077;&#1077;&#1074;&#1086;&#108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Лист1"/>
      <sheetName val="Отпуск электроэнерг. сет. орг."/>
      <sheetName val="Отчет"/>
      <sheetName val="Консультации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">
          <cell r="B4" t="str">
            <v>Выберите название региона из списка</v>
          </cell>
          <cell r="F4" t="str">
            <v>Январь</v>
          </cell>
          <cell r="I4">
            <v>2006</v>
          </cell>
        </row>
        <row r="5">
          <cell r="B5" t="str">
            <v>Агинский Бурятский автономный округ</v>
          </cell>
          <cell r="F5" t="str">
            <v>Февраль</v>
          </cell>
          <cell r="I5">
            <v>2007</v>
          </cell>
          <cell r="K5" t="str">
            <v>Да</v>
          </cell>
        </row>
        <row r="6">
          <cell r="B6" t="str">
            <v>Алтайский край</v>
          </cell>
          <cell r="F6" t="str">
            <v>Март</v>
          </cell>
          <cell r="I6">
            <v>2008</v>
          </cell>
          <cell r="K6" t="str">
            <v>Нет</v>
          </cell>
        </row>
        <row r="7">
          <cell r="B7" t="str">
            <v>Амурская область</v>
          </cell>
          <cell r="F7" t="str">
            <v>Апрель</v>
          </cell>
          <cell r="I7">
            <v>2009</v>
          </cell>
        </row>
        <row r="8">
          <cell r="B8" t="str">
            <v>Архангельская область</v>
          </cell>
          <cell r="F8" t="str">
            <v>Май</v>
          </cell>
          <cell r="I8">
            <v>2010</v>
          </cell>
        </row>
        <row r="9">
          <cell r="B9" t="str">
            <v>Астраханская область</v>
          </cell>
          <cell r="F9" t="str">
            <v>Июнь</v>
          </cell>
        </row>
        <row r="10">
          <cell r="B10" t="str">
            <v>г.Байконур</v>
          </cell>
          <cell r="F10" t="str">
            <v>Июль</v>
          </cell>
        </row>
        <row r="11">
          <cell r="B11" t="str">
            <v>Белгородская область</v>
          </cell>
          <cell r="F11" t="str">
            <v>Август</v>
          </cell>
        </row>
        <row r="12">
          <cell r="B12" t="str">
            <v>Брянская область</v>
          </cell>
          <cell r="F12" t="str">
            <v>Сентябрь</v>
          </cell>
        </row>
        <row r="13">
          <cell r="B13" t="str">
            <v>Владимирская область</v>
          </cell>
          <cell r="F13" t="str">
            <v>Октябрь</v>
          </cell>
        </row>
        <row r="14">
          <cell r="B14" t="str">
            <v>Волгоградская область</v>
          </cell>
          <cell r="F14" t="str">
            <v>Ноябрь</v>
          </cell>
        </row>
        <row r="15">
          <cell r="B15" t="str">
            <v>Вологодская область</v>
          </cell>
          <cell r="F15" t="str">
            <v>Декабрь</v>
          </cell>
        </row>
        <row r="16">
          <cell r="B16" t="str">
            <v>Воронежская область</v>
          </cell>
          <cell r="F16" t="str">
            <v>Год</v>
          </cell>
        </row>
        <row r="17">
          <cell r="B17" t="str">
            <v>Еврейская автономная область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Камчатская область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Корякский автономный округ</v>
          </cell>
        </row>
        <row r="28">
          <cell r="B28" t="str">
            <v>Костромская область</v>
          </cell>
        </row>
        <row r="29">
          <cell r="B29" t="str">
            <v>Краснодарский край</v>
          </cell>
        </row>
        <row r="30">
          <cell r="B30" t="str">
            <v>Красноярский край</v>
          </cell>
        </row>
        <row r="31">
          <cell r="B31" t="str">
            <v>Курганская область</v>
          </cell>
        </row>
        <row r="32">
          <cell r="B32" t="str">
            <v>Курская область</v>
          </cell>
        </row>
        <row r="33">
          <cell r="B33" t="str">
            <v>Ленинградская область</v>
          </cell>
        </row>
        <row r="34">
          <cell r="B34" t="str">
            <v>Липецкая область</v>
          </cell>
        </row>
        <row r="35">
          <cell r="B35" t="str">
            <v>Магаданская область</v>
          </cell>
        </row>
        <row r="36">
          <cell r="B36" t="str">
            <v>г.Москва</v>
          </cell>
        </row>
        <row r="37">
          <cell r="B37" t="str">
            <v>Московская область</v>
          </cell>
        </row>
        <row r="38">
          <cell r="B38" t="str">
            <v>Мурманская область</v>
          </cell>
        </row>
        <row r="39">
          <cell r="B39" t="str">
            <v>Ненецкий автономный округ</v>
          </cell>
        </row>
        <row r="40">
          <cell r="B40" t="str">
            <v>Нижегородская область</v>
          </cell>
        </row>
        <row r="41">
          <cell r="B41" t="str">
            <v>Новгородская область</v>
          </cell>
        </row>
        <row r="42">
          <cell r="B42" t="str">
            <v>Новосибирская область</v>
          </cell>
        </row>
        <row r="43">
          <cell r="B43" t="str">
            <v>Омская область</v>
          </cell>
        </row>
        <row r="44">
          <cell r="B44" t="str">
            <v>Оренбургская область</v>
          </cell>
        </row>
        <row r="45">
          <cell r="B45" t="str">
            <v>Орловская область</v>
          </cell>
        </row>
        <row r="46">
          <cell r="B46" t="str">
            <v>Пензенская область</v>
          </cell>
        </row>
        <row r="47">
          <cell r="B47" t="str">
            <v>Пермский край</v>
          </cell>
        </row>
        <row r="48">
          <cell r="B48" t="str">
            <v>Приморский край</v>
          </cell>
        </row>
        <row r="49">
          <cell r="B49" t="str">
            <v>Псковская область</v>
          </cell>
        </row>
        <row r="50">
          <cell r="B50" t="str">
            <v>Республика Адыгея</v>
          </cell>
        </row>
        <row r="51">
          <cell r="B51" t="str">
            <v>Республика Алтай</v>
          </cell>
        </row>
        <row r="52">
          <cell r="B52" t="str">
            <v>Республика Башкортостан</v>
          </cell>
        </row>
        <row r="53">
          <cell r="B53" t="str">
            <v>Республика Бурятия</v>
          </cell>
        </row>
        <row r="54">
          <cell r="B54" t="str">
            <v>Республика Дагестан</v>
          </cell>
        </row>
        <row r="55">
          <cell r="B55" t="str">
            <v>Республика Ингушетия</v>
          </cell>
        </row>
        <row r="56">
          <cell r="B56" t="str">
            <v>Республика Калмыкия</v>
          </cell>
        </row>
        <row r="57">
          <cell r="B57" t="str">
            <v>Республика Карелия</v>
          </cell>
        </row>
        <row r="58">
          <cell r="B58" t="str">
            <v>Республика Коми</v>
          </cell>
        </row>
        <row r="59">
          <cell r="B59" t="str">
            <v>Республика Марий Эл</v>
          </cell>
        </row>
        <row r="60">
          <cell r="B60" t="str">
            <v>Республика Мордовия</v>
          </cell>
        </row>
        <row r="61">
          <cell r="B61" t="str">
            <v>Республика Саха (Якутия)</v>
          </cell>
        </row>
        <row r="62">
          <cell r="B62" t="str">
            <v>Республика Северная Осетия-Алания</v>
          </cell>
        </row>
        <row r="63">
          <cell r="B63" t="str">
            <v>Республика Татарстан</v>
          </cell>
        </row>
        <row r="64">
          <cell r="B64" t="str">
            <v>Республика Тыва</v>
          </cell>
        </row>
        <row r="65">
          <cell r="B65" t="str">
            <v>Республика Хакасия</v>
          </cell>
        </row>
        <row r="66">
          <cell r="B66" t="str">
            <v>Ростовская область</v>
          </cell>
        </row>
        <row r="67">
          <cell r="B67" t="str">
            <v>Рязанская область</v>
          </cell>
        </row>
        <row r="68">
          <cell r="B68" t="str">
            <v>Самарская область</v>
          </cell>
        </row>
        <row r="69">
          <cell r="B69" t="str">
            <v>г.Санкт-Петербург</v>
          </cell>
        </row>
        <row r="70">
          <cell r="B70" t="str">
            <v>Саратовская область</v>
          </cell>
        </row>
        <row r="71">
          <cell r="B71" t="str">
            <v>Сахалинская область</v>
          </cell>
        </row>
        <row r="72">
          <cell r="B72" t="str">
            <v>Свердловская область</v>
          </cell>
        </row>
        <row r="73">
          <cell r="B73" t="str">
            <v>Смоленская область</v>
          </cell>
        </row>
        <row r="74">
          <cell r="B74" t="str">
            <v>Ставропольский край</v>
          </cell>
        </row>
        <row r="75">
          <cell r="B75" t="str">
            <v>Тамбовская область</v>
          </cell>
        </row>
        <row r="76">
          <cell r="B76" t="str">
            <v>Тверская область</v>
          </cell>
        </row>
        <row r="77">
          <cell r="B77" t="str">
            <v>Томская область</v>
          </cell>
        </row>
        <row r="78">
          <cell r="B78" t="str">
            <v>Тульская область</v>
          </cell>
        </row>
        <row r="79">
          <cell r="B79" t="str">
            <v>Тюменская область</v>
          </cell>
        </row>
        <row r="80">
          <cell r="B80" t="str">
            <v>Удмуртская республика</v>
          </cell>
        </row>
        <row r="81">
          <cell r="B81" t="str">
            <v>Ульяновская область</v>
          </cell>
        </row>
        <row r="82">
          <cell r="B82" t="str">
            <v>Усть-Ордынский Бурятский автономный округ</v>
          </cell>
        </row>
        <row r="83">
          <cell r="B83" t="str">
            <v>Хабаровский край</v>
          </cell>
        </row>
        <row r="84">
          <cell r="B84" t="str">
            <v>Ханты-Мансийский автономный округ</v>
          </cell>
        </row>
        <row r="85">
          <cell r="B85" t="str">
            <v>Челябинская область</v>
          </cell>
        </row>
        <row r="86">
          <cell r="B86" t="str">
            <v>Чеченская республика</v>
          </cell>
        </row>
        <row r="87">
          <cell r="B87" t="str">
            <v>Читинская область</v>
          </cell>
        </row>
        <row r="88">
          <cell r="B88" t="str">
            <v>Чувашская республика</v>
          </cell>
        </row>
        <row r="89">
          <cell r="B89" t="str">
            <v>Чукотский автономный округ</v>
          </cell>
        </row>
        <row r="90">
          <cell r="B90" t="str">
            <v>Ямало-Ненецкий автономный округ</v>
          </cell>
        </row>
        <row r="91">
          <cell r="B91" t="str">
            <v>Ярославская область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КОММЕНТАРИИ2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modProv"/>
      <sheetName val="modChange"/>
      <sheetName val="Расчет НВВ РСК - индексация"/>
      <sheetName val="Проверка"/>
      <sheetName val="Комментарии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>
        <row r="8">
          <cell r="F8" t="str">
            <v>Рязанская область</v>
          </cell>
        </row>
      </sheetData>
      <sheetData sheetId="5">
        <row r="9">
          <cell r="E9" t="str">
            <v>ОАО "МРСК Центра и Приволжья" филиал "Рязаньэнерго"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Prov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1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-2014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 РСК - индексация"/>
      <sheetName val="Индивидуальные тарифы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  <sheetName val="modLis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A1" t="str">
            <v>Алтайский край</v>
          </cell>
        </row>
        <row r="2">
          <cell r="A2" t="str">
            <v>Амурская область</v>
          </cell>
          <cell r="K2" t="str">
            <v>да</v>
          </cell>
          <cell r="N2" t="str">
            <v>2009-2017</v>
          </cell>
        </row>
        <row r="3">
          <cell r="A3" t="str">
            <v>Архангельская область</v>
          </cell>
          <cell r="K3" t="str">
            <v>нет</v>
          </cell>
          <cell r="N3" t="str">
            <v>2010-2017</v>
          </cell>
        </row>
        <row r="4">
          <cell r="A4" t="str">
            <v>Астраханская область</v>
          </cell>
          <cell r="N4" t="str">
            <v>2011-2017</v>
          </cell>
        </row>
        <row r="5">
          <cell r="A5" t="str">
            <v>Белгородская область</v>
          </cell>
          <cell r="N5" t="str">
            <v>2012-2017</v>
          </cell>
        </row>
        <row r="6">
          <cell r="A6" t="str">
            <v>Брянская область</v>
          </cell>
          <cell r="N6" t="str">
            <v>2013-2017</v>
          </cell>
        </row>
        <row r="7">
          <cell r="A7" t="str">
            <v>Владимирская область</v>
          </cell>
        </row>
        <row r="8">
          <cell r="A8" t="str">
            <v>Волгоградская область</v>
          </cell>
        </row>
        <row r="9">
          <cell r="A9" t="str">
            <v>Вологодская область</v>
          </cell>
        </row>
        <row r="10">
          <cell r="A10" t="str">
            <v>Воронежская область</v>
          </cell>
        </row>
        <row r="11">
          <cell r="A11" t="str">
            <v>г.Байконур</v>
          </cell>
        </row>
        <row r="12">
          <cell r="A12" t="str">
            <v>г. Москва</v>
          </cell>
        </row>
        <row r="13">
          <cell r="A13" t="str">
            <v>г.Санкт-Петербург</v>
          </cell>
        </row>
        <row r="14">
          <cell r="A14" t="str">
            <v>Еврейская автономная область</v>
          </cell>
        </row>
        <row r="15">
          <cell r="A15" t="str">
            <v>Забайкальский край</v>
          </cell>
        </row>
        <row r="16">
          <cell r="A16" t="str">
            <v>Ивановская область</v>
          </cell>
        </row>
        <row r="17">
          <cell r="A17" t="str">
            <v>Иркутская область</v>
          </cell>
        </row>
        <row r="18">
          <cell r="A18" t="str">
            <v>Кабардино-Балкарская республика</v>
          </cell>
        </row>
        <row r="19">
          <cell r="A19" t="str">
            <v>Калининградская область</v>
          </cell>
        </row>
        <row r="20">
          <cell r="A20" t="str">
            <v>Калужская область</v>
          </cell>
        </row>
        <row r="21">
          <cell r="A21" t="str">
            <v>Камчатский край</v>
          </cell>
        </row>
        <row r="22">
          <cell r="A22" t="str">
            <v>Карачаево-Черкесская республика</v>
          </cell>
        </row>
        <row r="23">
          <cell r="A23" t="str">
            <v>Кемеровская область</v>
          </cell>
        </row>
        <row r="24">
          <cell r="A24" t="str">
            <v>Кировская область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Саратовская область</v>
          </cell>
        </row>
        <row r="66">
          <cell r="A66" t="str">
            <v>Сахалинская область</v>
          </cell>
        </row>
        <row r="67">
          <cell r="A67" t="str">
            <v>Свердловская область</v>
          </cell>
        </row>
        <row r="68">
          <cell r="A68" t="str">
            <v>Смоленская область</v>
          </cell>
        </row>
        <row r="69">
          <cell r="A69" t="str">
            <v>Ставропольский край</v>
          </cell>
        </row>
        <row r="70">
          <cell r="A70" t="str">
            <v>Тамбовская область</v>
          </cell>
        </row>
        <row r="71">
          <cell r="A71" t="str">
            <v>Тверская область</v>
          </cell>
        </row>
        <row r="72">
          <cell r="A72" t="str">
            <v>Томская область</v>
          </cell>
        </row>
        <row r="73">
          <cell r="A73" t="str">
            <v>Тульская область</v>
          </cell>
        </row>
        <row r="74">
          <cell r="A74" t="str">
            <v>Тюменская область</v>
          </cell>
        </row>
        <row r="75">
          <cell r="A75" t="str">
            <v>Удмуртская республика</v>
          </cell>
        </row>
        <row r="76">
          <cell r="A76" t="str">
            <v>Ульяновская область</v>
          </cell>
        </row>
        <row r="77">
          <cell r="A77" t="str">
            <v>Хабаровский край</v>
          </cell>
        </row>
        <row r="78">
          <cell r="A78" t="str">
            <v>Ханты-Мансийский автономный округ</v>
          </cell>
        </row>
        <row r="79">
          <cell r="A79" t="str">
            <v>Челябинская область</v>
          </cell>
        </row>
        <row r="80">
          <cell r="A80" t="str">
            <v>Чеченская республика</v>
          </cell>
        </row>
        <row r="81">
          <cell r="A81" t="str">
            <v>Чувашская республика</v>
          </cell>
        </row>
        <row r="82">
          <cell r="A82" t="str">
            <v>Чукотский автономный округ</v>
          </cell>
        </row>
        <row r="83">
          <cell r="A83" t="str">
            <v>Ямало-Ненецкий автономный округ</v>
          </cell>
        </row>
        <row r="84">
          <cell r="A84" t="str">
            <v>Ярославская область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МУ МПЖКХ Гусь-Железный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Анкета"/>
      <sheetName val="Баланс энергии"/>
      <sheetName val="Баланс энергии (транзит)"/>
      <sheetName val="Баланс мощности"/>
      <sheetName val="УЕ ВЛЭП 2011-2014"/>
      <sheetName val="УЕ ТП 2011-2014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2-2014 "/>
      <sheetName val="Выпадающий доход"/>
      <sheetName val="Результаты деятельности орг-ии"/>
      <sheetName val="Корр. НР"/>
      <sheetName val="Корр. ПО"/>
      <sheetName val="Корр. ИП"/>
      <sheetName val="Корр. КНК"/>
      <sheetName val="НВВ на потери"/>
      <sheetName val="Подконтрольные расходы"/>
      <sheetName val="Долгосрочные параметры рег-я"/>
      <sheetName val="Смета общее НВВ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B7" t="str">
            <v>x</v>
          </cell>
          <cell r="D7" t="str">
            <v>x</v>
          </cell>
        </row>
        <row r="10">
          <cell r="A10" t="str">
            <v>договор № ___ от ____</v>
          </cell>
          <cell r="B10" t="str">
            <v>x</v>
          </cell>
          <cell r="D10" t="str">
            <v>x</v>
          </cell>
        </row>
        <row r="11">
          <cell r="A11" t="str">
            <v>договор № ___ от ____</v>
          </cell>
          <cell r="B11" t="str">
            <v>x</v>
          </cell>
          <cell r="D11" t="str">
            <v>x</v>
          </cell>
        </row>
        <row r="12">
          <cell r="A12" t="str">
            <v>договор № ___ от ____</v>
          </cell>
          <cell r="B12" t="str">
            <v>x</v>
          </cell>
          <cell r="D12" t="str">
            <v>x</v>
          </cell>
        </row>
        <row r="13">
          <cell r="A13" t="str">
            <v>договор № ___ от ____</v>
          </cell>
          <cell r="B13" t="str">
            <v>x</v>
          </cell>
          <cell r="D13" t="str">
            <v>x</v>
          </cell>
        </row>
      </sheetData>
      <sheetData sheetId="13">
        <row r="15">
          <cell r="A15" t="str">
            <v>Добавить</v>
          </cell>
        </row>
        <row r="16">
          <cell r="A16" t="str">
            <v>Всего транспортный налог:</v>
          </cell>
          <cell r="B16" t="str">
            <v>х</v>
          </cell>
          <cell r="C16" t="str">
            <v>х</v>
          </cell>
          <cell r="E16" t="str">
            <v>х</v>
          </cell>
        </row>
      </sheetData>
      <sheetData sheetId="14">
        <row r="12">
          <cell r="B12" t="str">
            <v>x</v>
          </cell>
          <cell r="D12" t="str">
            <v>x</v>
          </cell>
        </row>
        <row r="13">
          <cell r="B13" t="str">
            <v>x</v>
          </cell>
          <cell r="D13" t="str">
            <v>x</v>
          </cell>
        </row>
        <row r="14">
          <cell r="B14" t="str">
            <v>x</v>
          </cell>
          <cell r="D14" t="str">
            <v>x</v>
          </cell>
        </row>
        <row r="15">
          <cell r="B15" t="str">
            <v>x</v>
          </cell>
          <cell r="D15" t="str">
            <v>x</v>
          </cell>
        </row>
        <row r="16">
          <cell r="B16" t="str">
            <v>x</v>
          </cell>
          <cell r="C16">
            <v>0</v>
          </cell>
          <cell r="D16" t="str">
            <v>x</v>
          </cell>
          <cell r="E16">
            <v>0</v>
          </cell>
        </row>
      </sheetData>
      <sheetData sheetId="15"/>
      <sheetData sheetId="16"/>
      <sheetData sheetId="17">
        <row r="8">
          <cell r="A8" t="str">
            <v xml:space="preserve">договор  с _____ от_____№  __ </v>
          </cell>
          <cell r="B8" t="str">
            <v>x</v>
          </cell>
          <cell r="D8" t="str">
            <v>x</v>
          </cell>
        </row>
        <row r="9">
          <cell r="A9" t="str">
            <v xml:space="preserve">договор  с _____ от_____№  __ </v>
          </cell>
          <cell r="B9" t="str">
            <v>x</v>
          </cell>
          <cell r="D9" t="str">
            <v>x</v>
          </cell>
        </row>
        <row r="10">
          <cell r="A10" t="str">
            <v xml:space="preserve">договор  с _____ от_____№  __ </v>
          </cell>
          <cell r="B10" t="str">
            <v>x</v>
          </cell>
          <cell r="D10" t="str">
            <v>x</v>
          </cell>
        </row>
        <row r="11">
          <cell r="A11" t="str">
            <v xml:space="preserve">договор  с _____ от_____№  __ </v>
          </cell>
          <cell r="B11" t="str">
            <v>x</v>
          </cell>
          <cell r="D11" t="str">
            <v>x</v>
          </cell>
        </row>
        <row r="12">
          <cell r="A12" t="str">
            <v xml:space="preserve">договор  с _____ от_____№  __ </v>
          </cell>
          <cell r="B12" t="str">
            <v>x</v>
          </cell>
          <cell r="D12" t="str">
            <v>x</v>
          </cell>
        </row>
        <row r="13">
          <cell r="A13" t="str">
            <v xml:space="preserve">договор  с _____ от_____№  __ </v>
          </cell>
          <cell r="B13" t="str">
            <v>x</v>
          </cell>
          <cell r="D13" t="str">
            <v>x</v>
          </cell>
        </row>
        <row r="23">
          <cell r="A23" t="str">
            <v xml:space="preserve">договор  с _____ от_____№  __ </v>
          </cell>
          <cell r="B23" t="str">
            <v>x</v>
          </cell>
          <cell r="D23" t="str">
            <v>x</v>
          </cell>
        </row>
        <row r="24">
          <cell r="A24" t="str">
            <v xml:space="preserve">договор  с _____ от_____№  __ </v>
          </cell>
          <cell r="B24" t="str">
            <v>x</v>
          </cell>
          <cell r="D24" t="str">
            <v>x</v>
          </cell>
        </row>
        <row r="25">
          <cell r="A25" t="str">
            <v xml:space="preserve">договор  с _____ от_____№  __ </v>
          </cell>
          <cell r="B25" t="str">
            <v>x</v>
          </cell>
          <cell r="D25" t="str">
            <v>x</v>
          </cell>
        </row>
        <row r="26">
          <cell r="A26" t="str">
            <v xml:space="preserve">договор  с _____ от_____№  __ </v>
          </cell>
          <cell r="B26" t="str">
            <v>x</v>
          </cell>
          <cell r="D26" t="str">
            <v>x</v>
          </cell>
        </row>
        <row r="27">
          <cell r="A27" t="str">
            <v xml:space="preserve">договор  с _____ от_____№  __ </v>
          </cell>
          <cell r="B27" t="str">
            <v>x</v>
          </cell>
          <cell r="D27" t="str">
            <v>x</v>
          </cell>
        </row>
        <row r="30">
          <cell r="A30" t="str">
            <v xml:space="preserve">объектов электросетевого хозяйства договор  с _____ от_____№  __ </v>
          </cell>
          <cell r="B30" t="str">
            <v>x</v>
          </cell>
          <cell r="D30" t="str">
            <v>x</v>
          </cell>
        </row>
        <row r="31">
          <cell r="A31" t="str">
            <v xml:space="preserve">иного имущества договор  с _____ от_____№  __ </v>
          </cell>
          <cell r="B31" t="str">
            <v>x</v>
          </cell>
          <cell r="D31" t="str">
            <v>x</v>
          </cell>
        </row>
        <row r="32">
          <cell r="A32" t="str">
            <v xml:space="preserve">договор  с _____ от_____№  __ </v>
          </cell>
          <cell r="B32" t="str">
            <v>x</v>
          </cell>
          <cell r="D32" t="str">
            <v>x</v>
          </cell>
        </row>
        <row r="33">
          <cell r="A33" t="str">
            <v xml:space="preserve">договор  с _____ от_____№  __ </v>
          </cell>
          <cell r="B33" t="str">
            <v>x</v>
          </cell>
          <cell r="D33" t="str">
            <v>x</v>
          </cell>
        </row>
      </sheetData>
      <sheetData sheetId="18"/>
      <sheetData sheetId="19">
        <row r="7">
          <cell r="A7" t="str">
            <v>введите название</v>
          </cell>
        </row>
      </sheetData>
      <sheetData sheetId="20">
        <row r="2">
          <cell r="A2" t="str">
            <v xml:space="preserve">                            Расходы на капитальные вложения на 2012 - 2014 годы</v>
          </cell>
        </row>
        <row r="8">
          <cell r="A8" t="str">
            <v>Введите название</v>
          </cell>
        </row>
        <row r="9">
          <cell r="A9" t="str">
            <v>Введите название</v>
          </cell>
        </row>
        <row r="10">
          <cell r="A10" t="str">
            <v>Введите название</v>
          </cell>
        </row>
        <row r="11">
          <cell r="A11" t="str">
            <v>Введите название</v>
          </cell>
        </row>
        <row r="12">
          <cell r="A12" t="str">
            <v>Введите название</v>
          </cell>
        </row>
        <row r="15">
          <cell r="A15" t="str">
            <v>Введите название</v>
          </cell>
        </row>
        <row r="16">
          <cell r="A16" t="str">
            <v>Введите название</v>
          </cell>
        </row>
        <row r="17">
          <cell r="A17" t="str">
            <v>Введите название</v>
          </cell>
        </row>
        <row r="18">
          <cell r="A18" t="str">
            <v>Введите название</v>
          </cell>
        </row>
        <row r="19">
          <cell r="A19" t="str">
            <v>Введите название</v>
          </cell>
        </row>
        <row r="22">
          <cell r="A22" t="str">
            <v>Введите название</v>
          </cell>
        </row>
        <row r="23">
          <cell r="A23" t="str">
            <v>Введите название</v>
          </cell>
        </row>
        <row r="24">
          <cell r="A24" t="str">
            <v>Введите название</v>
          </cell>
        </row>
        <row r="25">
          <cell r="A25" t="str">
            <v>Введите название</v>
          </cell>
        </row>
        <row r="28">
          <cell r="A28" t="str">
            <v>Введите название</v>
          </cell>
        </row>
        <row r="29">
          <cell r="A29" t="str">
            <v>Введите название</v>
          </cell>
        </row>
        <row r="30">
          <cell r="A30" t="str">
            <v>Введите название</v>
          </cell>
        </row>
        <row r="31">
          <cell r="A31" t="str">
            <v>Введите название</v>
          </cell>
        </row>
        <row r="34">
          <cell r="A34" t="str">
            <v>Введите название</v>
          </cell>
        </row>
        <row r="35">
          <cell r="A35" t="str">
            <v>Введите название</v>
          </cell>
        </row>
        <row r="36">
          <cell r="A36" t="str">
            <v>Введите название</v>
          </cell>
        </row>
        <row r="37">
          <cell r="A37" t="str">
            <v>Введите название</v>
          </cell>
        </row>
        <row r="40">
          <cell r="A40" t="str">
            <v>Введите название</v>
          </cell>
        </row>
        <row r="41">
          <cell r="A41" t="str">
            <v>Введите название</v>
          </cell>
        </row>
        <row r="42">
          <cell r="A42" t="str">
            <v>Введите название</v>
          </cell>
        </row>
        <row r="43">
          <cell r="A43" t="str">
            <v>Введите название</v>
          </cell>
        </row>
        <row r="46">
          <cell r="A46" t="str">
            <v>Введите название</v>
          </cell>
        </row>
        <row r="47">
          <cell r="A47" t="str">
            <v>Введите название</v>
          </cell>
        </row>
        <row r="48">
          <cell r="A48" t="str">
            <v>Введите название</v>
          </cell>
        </row>
        <row r="49">
          <cell r="A49" t="str">
            <v>Введите название</v>
          </cell>
        </row>
      </sheetData>
      <sheetData sheetId="21">
        <row r="7">
          <cell r="A7" t="str">
            <v>Расходы, связанные с компенсацией выпадающих доходов по льготному технологическому присоединению, всего, в том числе:</v>
          </cell>
          <cell r="E7">
            <v>0</v>
          </cell>
        </row>
        <row r="8">
          <cell r="A8" t="str">
            <v xml:space="preserve">   выпадающие доходы сетевой организации от присоединения энергопринимающих устройств, максимальной мощностью, не превышающей 15 кВт включительно, исходя из стоимости мероприятий по технологическому присоединению в размере не более 550 рублей;</v>
          </cell>
        </row>
        <row r="9">
          <cell r="A9" t="str">
            <v xml:space="preserve">   выпадающие доходы сетевой организации от выплаты процентов по кредитным договорам, связанным с рассрочкой по оплате субъектами малого и среднего предпринимательства технологического присоединения энергопринимающих устройств максимальной мощностью свыше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7">
          <cell r="E7" t="str">
            <v>Январь</v>
          </cell>
        </row>
        <row r="8">
          <cell r="E8" t="str">
            <v>Февраль</v>
          </cell>
        </row>
        <row r="9">
          <cell r="E9" t="str">
            <v>Март</v>
          </cell>
        </row>
        <row r="10">
          <cell r="E10" t="str">
            <v>Апрель</v>
          </cell>
        </row>
        <row r="11">
          <cell r="E11" t="str">
            <v>Май</v>
          </cell>
        </row>
        <row r="12">
          <cell r="E12" t="str">
            <v>Июнь</v>
          </cell>
        </row>
        <row r="13">
          <cell r="E13" t="str">
            <v>Июль</v>
          </cell>
        </row>
        <row r="14">
          <cell r="E14" t="str">
            <v>Август</v>
          </cell>
        </row>
        <row r="15">
          <cell r="E15" t="str">
            <v>Сентябрь</v>
          </cell>
        </row>
        <row r="16">
          <cell r="E16" t="str">
            <v>Октябрь</v>
          </cell>
        </row>
        <row r="17">
          <cell r="E17" t="str">
            <v>Ноябрь</v>
          </cell>
        </row>
        <row r="18">
          <cell r="E18" t="str">
            <v>Декабрь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Анкета"/>
      <sheetName val="Баланс энергии"/>
      <sheetName val="Баланс энергии (транзит)"/>
      <sheetName val="Баланс мощности"/>
      <sheetName val="УЕ ВЛЭП 2011-2014"/>
      <sheetName val="УЕ ТП 2011-2014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2-2014 "/>
      <sheetName val="Выпадающий доход"/>
      <sheetName val="Результаты деятельности орг-ии"/>
      <sheetName val="Корр. НР"/>
      <sheetName val="Корр. ПО"/>
      <sheetName val="Корр. ИП"/>
      <sheetName val="Корр. КНК"/>
      <sheetName val="НВВ на потери"/>
      <sheetName val="Подконтрольные расходы"/>
      <sheetName val="Долгосрочные параметры рег-я"/>
      <sheetName val="Смета общее НВВ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5">
          <cell r="A15" t="str">
            <v>Добавить</v>
          </cell>
        </row>
        <row r="16">
          <cell r="A16" t="str">
            <v>Всего транспортный налог:</v>
          </cell>
          <cell r="B16" t="str">
            <v>х</v>
          </cell>
          <cell r="C16" t="str">
            <v>х</v>
          </cell>
          <cell r="E16" t="str">
            <v>х</v>
          </cell>
        </row>
      </sheetData>
      <sheetData sheetId="14" refreshError="1">
        <row r="12">
          <cell r="B12" t="str">
            <v>x</v>
          </cell>
          <cell r="D12" t="str">
            <v>x</v>
          </cell>
        </row>
        <row r="13">
          <cell r="B13" t="str">
            <v>x</v>
          </cell>
          <cell r="D13" t="str">
            <v>x</v>
          </cell>
        </row>
        <row r="14">
          <cell r="B14" t="str">
            <v>x</v>
          </cell>
          <cell r="D14" t="str">
            <v>x</v>
          </cell>
        </row>
        <row r="15">
          <cell r="B15" t="str">
            <v>x</v>
          </cell>
          <cell r="D15" t="str">
            <v>x</v>
          </cell>
        </row>
        <row r="16">
          <cell r="B16" t="str">
            <v>x</v>
          </cell>
          <cell r="C16">
            <v>0</v>
          </cell>
          <cell r="D16" t="str">
            <v>x</v>
          </cell>
          <cell r="E16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>
        <row r="7">
          <cell r="A7" t="str">
            <v>введите название</v>
          </cell>
        </row>
      </sheetData>
      <sheetData sheetId="20" refreshError="1">
        <row r="2">
          <cell r="A2" t="str">
            <v xml:space="preserve">                            Расходы на капитальные вложения на 2012 - 2014 годы</v>
          </cell>
        </row>
        <row r="8">
          <cell r="A8" t="str">
            <v>Введите название</v>
          </cell>
        </row>
        <row r="9">
          <cell r="A9" t="str">
            <v>Введите название</v>
          </cell>
        </row>
        <row r="10">
          <cell r="A10" t="str">
            <v>Введите название</v>
          </cell>
        </row>
        <row r="11">
          <cell r="A11" t="str">
            <v>Введите название</v>
          </cell>
        </row>
        <row r="12">
          <cell r="A12" t="str">
            <v>Введите название</v>
          </cell>
        </row>
        <row r="15">
          <cell r="A15" t="str">
            <v>Введите название</v>
          </cell>
        </row>
        <row r="16">
          <cell r="A16" t="str">
            <v>Введите название</v>
          </cell>
        </row>
        <row r="17">
          <cell r="A17" t="str">
            <v>Введите название</v>
          </cell>
        </row>
        <row r="18">
          <cell r="A18" t="str">
            <v>Введите название</v>
          </cell>
        </row>
        <row r="19">
          <cell r="A19" t="str">
            <v>Введите название</v>
          </cell>
        </row>
        <row r="22">
          <cell r="A22" t="str">
            <v>Введите название</v>
          </cell>
        </row>
        <row r="23">
          <cell r="A23" t="str">
            <v>Введите название</v>
          </cell>
        </row>
        <row r="24">
          <cell r="A24" t="str">
            <v>Введите название</v>
          </cell>
        </row>
        <row r="25">
          <cell r="A25" t="str">
            <v>Введите название</v>
          </cell>
        </row>
        <row r="28">
          <cell r="A28" t="str">
            <v>Введите название</v>
          </cell>
        </row>
        <row r="29">
          <cell r="A29" t="str">
            <v>Введите название</v>
          </cell>
        </row>
        <row r="30">
          <cell r="A30" t="str">
            <v>Введите название</v>
          </cell>
        </row>
        <row r="31">
          <cell r="A31" t="str">
            <v>Введите название</v>
          </cell>
        </row>
        <row r="34">
          <cell r="A34" t="str">
            <v>Введите название</v>
          </cell>
        </row>
        <row r="35">
          <cell r="A35" t="str">
            <v>Введите название</v>
          </cell>
        </row>
        <row r="36">
          <cell r="A36" t="str">
            <v>Введите название</v>
          </cell>
        </row>
        <row r="37">
          <cell r="A37" t="str">
            <v>Введите название</v>
          </cell>
        </row>
        <row r="40">
          <cell r="A40" t="str">
            <v>Введите название</v>
          </cell>
        </row>
        <row r="41">
          <cell r="A41" t="str">
            <v>Введите название</v>
          </cell>
        </row>
        <row r="42">
          <cell r="A42" t="str">
            <v>Введите название</v>
          </cell>
        </row>
        <row r="43">
          <cell r="A43" t="str">
            <v>Введите название</v>
          </cell>
        </row>
        <row r="46">
          <cell r="A46" t="str">
            <v>Введите название</v>
          </cell>
        </row>
        <row r="47">
          <cell r="A47" t="str">
            <v>Введите название</v>
          </cell>
        </row>
        <row r="48">
          <cell r="A48" t="str">
            <v>Введите название</v>
          </cell>
        </row>
        <row r="49">
          <cell r="A49" t="str">
            <v>Введите название</v>
          </cell>
        </row>
      </sheetData>
      <sheetData sheetId="21" refreshError="1">
        <row r="7">
          <cell r="A7" t="str">
            <v>Расходы, связанные с компенсацией выпадающих доходов по льготному технологическому присоединению, всего, в том числе:</v>
          </cell>
          <cell r="E7">
            <v>0</v>
          </cell>
        </row>
        <row r="8">
          <cell r="A8" t="str">
            <v xml:space="preserve">   выпадающие доходы сетевой организации от присоединения энергопринимающих устройств, максимальной мощностью, не превышающей 15 кВт включительно, исходя из стоимости мероприятий по технологическому присоединению в размере не более 550 рублей;</v>
          </cell>
        </row>
        <row r="9">
          <cell r="A9" t="str">
            <v xml:space="preserve">   выпадающие доходы сетевой организации от выплаты процентов по кредитным договорам, связанным с рассрочкой по оплате субъектами малого и среднего предпринимательства технологического присоединения энергопринимающих устройств максимальной мощностью свыше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ЦТ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таблица фст"/>
      <sheetName val="Производство электроэнергии"/>
      <sheetName val="П2.1"/>
      <sheetName val=" НВВ передача"/>
      <sheetName val="Данные"/>
    </sheetNames>
    <sheetDataSet>
      <sheetData sheetId="0" refreshError="1">
        <row r="14">
          <cell r="B14">
            <v>2005</v>
          </cell>
        </row>
        <row r="15">
          <cell r="B15">
            <v>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C15">
            <v>0</v>
          </cell>
        </row>
        <row r="24">
          <cell r="C2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Исходные данные"/>
      <sheetName val="ГрафикЛП"/>
      <sheetName val="График погашения займа"/>
      <sheetName val="Расчет"/>
      <sheetName val="Обобщение"/>
      <sheetName val="Сравнение"/>
      <sheetName val="MEGA Функции"/>
    </sheetNames>
    <sheetDataSet>
      <sheetData sheetId="0" refreshError="1">
        <row r="14">
          <cell r="C14">
            <v>329728</v>
          </cell>
        </row>
        <row r="16">
          <cell r="C16">
            <v>274773.33333333331</v>
          </cell>
        </row>
        <row r="21">
          <cell r="C21">
            <v>13</v>
          </cell>
        </row>
        <row r="24">
          <cell r="C24">
            <v>329728</v>
          </cell>
        </row>
        <row r="25">
          <cell r="B25">
            <v>0.11</v>
          </cell>
        </row>
        <row r="29">
          <cell r="B29">
            <v>0</v>
          </cell>
        </row>
        <row r="32">
          <cell r="B32">
            <v>0.02</v>
          </cell>
        </row>
        <row r="33">
          <cell r="B33">
            <v>0</v>
          </cell>
        </row>
        <row r="34">
          <cell r="B34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Заголовок"/>
      <sheetName val="6"/>
      <sheetName val="эл ст"/>
      <sheetName val="Справочники"/>
      <sheetName val="Закупки"/>
      <sheetName val="Макро"/>
      <sheetName val="УЗ-22(2002)"/>
      <sheetName val="УЗ-21(1кв.) (2)"/>
      <sheetName val="УЗ-21(2002)"/>
      <sheetName val="УЗ-22(3кв.) (2)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обслуживание"/>
      <sheetName val="Титульный лист С-П"/>
      <sheetName val="2002(v1)"/>
      <sheetName val="ФИНПЛАН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Cover"/>
      <sheetName val="CTN"/>
      <sheetName val="TC"/>
      <sheetName val="Data"/>
      <sheetName val="расшифровка"/>
      <sheetName val="FES"/>
      <sheetName val="Лист1"/>
      <sheetName val="Тарифы _ЗН"/>
      <sheetName val="Тарифы _СК"/>
      <sheetName val="июнь9"/>
      <sheetName val="исходные данные"/>
      <sheetName val="Исходные"/>
      <sheetName val="sapactivexlhiddensheet"/>
      <sheetName val="расчет тарифов"/>
      <sheetName val="РСД ИА "/>
      <sheetName val="Номенклатура"/>
      <sheetName val="свод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Расчёт НВВ по RAB"/>
      <sheetName val="Standard"/>
      <sheetName val="Pricelist"/>
      <sheetName val="ОХЗ КТС"/>
      <sheetName val="Контрагенты"/>
      <sheetName val="Стр1"/>
      <sheetName val="Список"/>
      <sheetName val="Выгрузка"/>
      <sheetName val="Данные ОАО"/>
      <sheetName val="Прил1"/>
      <sheetName val="EKDEB90"/>
      <sheetName val="Закупки центр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еречень необх.документов"/>
      <sheetName val="Заявление"/>
      <sheetName val="Реквизиты организации"/>
      <sheetName val="2.1"/>
      <sheetName val="2.2"/>
      <sheetName val="1.4"/>
      <sheetName val="1.5"/>
      <sheetName val="Свод долгосрочный "/>
      <sheetName val="Сырье и материалы"/>
      <sheetName val="Раб. и усл. произ. хар-ра"/>
      <sheetName val="Затраты на ремонт"/>
      <sheetName val="Оплата труда"/>
      <sheetName val="Числ. и разряд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Лизинг"/>
      <sheetName val="Плата за землю"/>
      <sheetName val="Налог на имущество"/>
      <sheetName val="Транс. налог"/>
      <sheetName val="негативное воздействие "/>
      <sheetName val="прочие налоги и сборы"/>
      <sheetName val="прочие НР"/>
      <sheetName val="Аммортизация"/>
      <sheetName val="Корр ПР"/>
      <sheetName val="Корр. НР"/>
      <sheetName val="Корр. ПО"/>
      <sheetName val="Корр. ИП"/>
      <sheetName val="Корр. КНК"/>
      <sheetName val="Выпадающие от ТП"/>
      <sheetName val="ТЭП"/>
      <sheetName val="Форма 1"/>
      <sheetName val="Форма 2"/>
      <sheetName val="Информация о согл. объемах"/>
      <sheetName val="Сводная 2020"/>
      <sheetName val="Смета расходов и доходов"/>
      <sheetName val="Свод  по актам ФСК"/>
      <sheetName val="Доход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47">
          <cell r="B47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/>
      <sheetData sheetId="2">
        <row r="7">
          <cell r="C7">
            <v>2376957</v>
          </cell>
        </row>
        <row r="20">
          <cell r="G20">
            <v>24955610.968215998</v>
          </cell>
        </row>
        <row r="23">
          <cell r="B23">
            <v>14598565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еречень необх.документов"/>
      <sheetName val="Заявление"/>
      <sheetName val="Реквизиты организации"/>
      <sheetName val="2.1"/>
      <sheetName val="2.2"/>
      <sheetName val="1.4"/>
      <sheetName val="1.5"/>
      <sheetName val="Свод долгосрочный "/>
      <sheetName val="Сырье и материалы"/>
      <sheetName val="Раб. и усл. произ. хар-ра"/>
      <sheetName val="Затраты на ремонт"/>
      <sheetName val="Оплата труда"/>
      <sheetName val="Числ. и разряд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Лизинг"/>
      <sheetName val="Плата за землю"/>
      <sheetName val="Налог на имущество"/>
      <sheetName val="Транс. налог"/>
      <sheetName val="негативное воздействие "/>
      <sheetName val="прочие налоги и сборы"/>
      <sheetName val="прочие НР"/>
      <sheetName val="Аммортизация"/>
      <sheetName val="Корр ПР"/>
      <sheetName val="Корр. НР"/>
      <sheetName val="Корр. ПО"/>
      <sheetName val="Корр. ИП"/>
      <sheetName val="Корр. КНК"/>
      <sheetName val="Выпадающие от ТП"/>
      <sheetName val="ТЭП"/>
      <sheetName val="Форма 1"/>
      <sheetName val="Форма 2"/>
      <sheetName val="Информация о согл. объемах"/>
      <sheetName val="Сводная 2020"/>
      <sheetName val="Смета расходов и доходов"/>
      <sheetName val="Свод  по актам ФСК"/>
      <sheetName val="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9">
          <cell r="D9">
            <v>2376.9569999999999</v>
          </cell>
        </row>
        <row r="10">
          <cell r="D10">
            <v>1981.2249999999999</v>
          </cell>
        </row>
        <row r="11">
          <cell r="D11">
            <v>1870.3889999999999</v>
          </cell>
        </row>
        <row r="12">
          <cell r="D12">
            <v>1596.7249999999999</v>
          </cell>
        </row>
        <row r="13">
          <cell r="D13">
            <v>1528.2270000000001</v>
          </cell>
        </row>
        <row r="14">
          <cell r="D14">
            <v>1688.5840000000001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Перечень необх.документов"/>
      <sheetName val="Заявление"/>
      <sheetName val="Реквизиты организации"/>
      <sheetName val="2.1"/>
      <sheetName val="2.2"/>
      <sheetName val="1.4"/>
      <sheetName val="1.5"/>
      <sheetName val="Свод долгосрочный "/>
      <sheetName val="Сырье и материалы"/>
      <sheetName val="Раб. и усл. произ. хар-ра"/>
      <sheetName val="Затраты на ремонт"/>
      <sheetName val="Оплата труда"/>
      <sheetName val="Числ. и разряд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Лизинг"/>
      <sheetName val="Плата за землю"/>
      <sheetName val="Налог на имущество"/>
      <sheetName val="Транс. налог"/>
      <sheetName val="негативное воздействие "/>
      <sheetName val="прочие налоги и сборы"/>
      <sheetName val="прочие НР"/>
      <sheetName val="Аммортизация"/>
      <sheetName val="Корр ПР"/>
      <sheetName val="Корр. НР"/>
      <sheetName val="Корр. ПО"/>
      <sheetName val="Корр. ИП"/>
      <sheetName val="Корр. КНК"/>
      <sheetName val="Выпадающие от ТП"/>
      <sheetName val="ТЭП"/>
      <sheetName val="Форма 1"/>
      <sheetName val="Форма 2"/>
      <sheetName val="Информация о согл. объемах"/>
      <sheetName val="Сводная 2020"/>
      <sheetName val="Смета расходов и доходов"/>
      <sheetName val="Свод  по актам ФСК"/>
      <sheetName val="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МУ МПЖКХ Гусь-Железный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35"/>
  </sheetPr>
  <dimension ref="B1:J154"/>
  <sheetViews>
    <sheetView tabSelected="1" workbookViewId="0"/>
  </sheetViews>
  <sheetFormatPr defaultRowHeight="12.75"/>
  <cols>
    <col min="2" max="2" width="17.42578125" customWidth="1"/>
    <col min="3" max="3" width="140.85546875" customWidth="1"/>
    <col min="4" max="4" width="44.85546875" customWidth="1"/>
    <col min="5" max="5" width="26.5703125" customWidth="1"/>
    <col min="6" max="6" width="17.7109375" customWidth="1"/>
    <col min="7" max="7" width="32.5703125" customWidth="1"/>
    <col min="8" max="11" width="10.7109375" customWidth="1"/>
    <col min="12" max="13" width="19.42578125" customWidth="1"/>
    <col min="14" max="14" width="21.140625" customWidth="1"/>
  </cols>
  <sheetData>
    <row r="1" spans="2:10" ht="43.5" customHeight="1">
      <c r="B1" s="1637" t="s">
        <v>108</v>
      </c>
      <c r="C1" s="1638"/>
      <c r="D1" s="1638"/>
      <c r="E1" s="1638"/>
    </row>
    <row r="2" spans="2:10" ht="18.75">
      <c r="B2" s="212"/>
      <c r="C2" s="190"/>
      <c r="D2" s="190"/>
      <c r="E2" s="190"/>
    </row>
    <row r="3" spans="2:10" ht="166.5" customHeight="1">
      <c r="B3" s="1639" t="s">
        <v>901</v>
      </c>
      <c r="C3" s="1640"/>
      <c r="D3" s="1640"/>
      <c r="E3" s="1640"/>
      <c r="F3" s="225"/>
    </row>
    <row r="4" spans="2:10" ht="18.75">
      <c r="B4" s="213"/>
    </row>
    <row r="5" spans="2:10" ht="19.5" customHeight="1">
      <c r="B5" s="1641" t="s">
        <v>898</v>
      </c>
      <c r="C5" s="1642"/>
      <c r="D5" s="1642"/>
      <c r="E5" s="1642"/>
    </row>
    <row r="6" spans="2:10" ht="19.5" customHeight="1">
      <c r="B6" s="1643" t="s">
        <v>126</v>
      </c>
      <c r="C6" s="1642"/>
      <c r="D6" s="1642"/>
      <c r="F6" s="216"/>
      <c r="G6" s="216"/>
      <c r="H6" s="216"/>
      <c r="I6" s="216"/>
      <c r="J6" s="216"/>
    </row>
    <row r="7" spans="2:10" ht="19.5" customHeight="1">
      <c r="B7" s="1641" t="s">
        <v>486</v>
      </c>
      <c r="C7" s="1642"/>
    </row>
    <row r="8" spans="2:10" ht="19.5" customHeight="1">
      <c r="B8" s="1641" t="s">
        <v>242</v>
      </c>
      <c r="C8" s="1642"/>
      <c r="D8" s="1642"/>
    </row>
    <row r="9" spans="2:10" ht="19.5" customHeight="1">
      <c r="B9" s="1641" t="s">
        <v>121</v>
      </c>
      <c r="C9" s="1642"/>
      <c r="D9" s="1642"/>
    </row>
    <row r="10" spans="2:10" ht="19.5" customHeight="1">
      <c r="B10" s="1641" t="s">
        <v>122</v>
      </c>
      <c r="C10" s="1642"/>
      <c r="D10" s="1642"/>
    </row>
    <row r="11" spans="2:10" ht="19.5" customHeight="1">
      <c r="B11" s="1641" t="s">
        <v>123</v>
      </c>
      <c r="C11" s="1642"/>
      <c r="D11" s="1642"/>
    </row>
    <row r="12" spans="2:10" ht="19.5" customHeight="1">
      <c r="B12" s="1651" t="s">
        <v>124</v>
      </c>
      <c r="C12" s="1652"/>
      <c r="D12" s="1652"/>
      <c r="E12" s="217"/>
    </row>
    <row r="13" spans="2:10" ht="102.75" customHeight="1">
      <c r="B13" s="1658" t="s">
        <v>902</v>
      </c>
      <c r="C13" s="1642"/>
      <c r="D13" s="1642"/>
      <c r="E13" s="217"/>
    </row>
    <row r="14" spans="2:10" ht="19.5" customHeight="1">
      <c r="B14" s="1651" t="s">
        <v>243</v>
      </c>
      <c r="C14" s="1652"/>
      <c r="D14" s="1652"/>
    </row>
    <row r="15" spans="2:10" ht="19.5" thickBot="1">
      <c r="B15" s="213"/>
    </row>
    <row r="16" spans="2:10" ht="38.25" thickBot="1">
      <c r="B16" s="218"/>
      <c r="C16" s="227" t="s">
        <v>127</v>
      </c>
      <c r="D16" s="227" t="s">
        <v>128</v>
      </c>
    </row>
    <row r="17" spans="2:4" ht="37.5">
      <c r="B17" s="1647" t="s">
        <v>250</v>
      </c>
      <c r="C17" s="219" t="s">
        <v>903</v>
      </c>
      <c r="D17" s="1645" t="s">
        <v>129</v>
      </c>
    </row>
    <row r="18" spans="2:4" ht="18.75">
      <c r="B18" s="1648"/>
      <c r="C18" s="219" t="s">
        <v>130</v>
      </c>
      <c r="D18" s="1650"/>
    </row>
    <row r="19" spans="2:4" ht="18.75">
      <c r="B19" s="1648"/>
      <c r="C19" s="219" t="s">
        <v>131</v>
      </c>
      <c r="D19" s="1650"/>
    </row>
    <row r="20" spans="2:4" ht="18.75">
      <c r="B20" s="1648"/>
      <c r="C20" s="219" t="s">
        <v>132</v>
      </c>
      <c r="D20" s="1650"/>
    </row>
    <row r="21" spans="2:4" ht="18.75">
      <c r="B21" s="1648"/>
      <c r="C21" s="219" t="s">
        <v>133</v>
      </c>
      <c r="D21" s="1650"/>
    </row>
    <row r="22" spans="2:4" ht="18.75">
      <c r="B22" s="1648"/>
      <c r="C22" s="219" t="s">
        <v>134</v>
      </c>
      <c r="D22" s="1650"/>
    </row>
    <row r="23" spans="2:4" ht="18.75">
      <c r="B23" s="1648"/>
      <c r="C23" s="219" t="s">
        <v>135</v>
      </c>
      <c r="D23" s="1650"/>
    </row>
    <row r="24" spans="2:4" ht="37.5">
      <c r="B24" s="1648"/>
      <c r="C24" s="219" t="s">
        <v>904</v>
      </c>
      <c r="D24" s="1650"/>
    </row>
    <row r="25" spans="2:4" ht="18.75">
      <c r="B25" s="1648"/>
      <c r="C25" s="219" t="s">
        <v>136</v>
      </c>
      <c r="D25" s="1650"/>
    </row>
    <row r="26" spans="2:4" ht="37.5">
      <c r="B26" s="1648"/>
      <c r="C26" s="219" t="s">
        <v>905</v>
      </c>
      <c r="D26" s="1650"/>
    </row>
    <row r="27" spans="2:4" ht="19.5" thickBot="1">
      <c r="B27" s="1648"/>
      <c r="C27" s="220" t="s">
        <v>906</v>
      </c>
      <c r="D27" s="1650"/>
    </row>
    <row r="28" spans="2:4" ht="38.25" thickBot="1">
      <c r="B28" s="1649"/>
      <c r="C28" s="850" t="s">
        <v>907</v>
      </c>
      <c r="D28" s="1646"/>
    </row>
    <row r="29" spans="2:4" ht="37.5">
      <c r="B29" s="1647" t="s">
        <v>246</v>
      </c>
      <c r="C29" s="219" t="s">
        <v>137</v>
      </c>
      <c r="D29" s="1645" t="s">
        <v>138</v>
      </c>
    </row>
    <row r="30" spans="2:4" ht="18.75">
      <c r="B30" s="1648"/>
      <c r="C30" s="219" t="s">
        <v>139</v>
      </c>
      <c r="D30" s="1650"/>
    </row>
    <row r="31" spans="2:4" ht="18.75">
      <c r="B31" s="1648"/>
      <c r="C31" s="219" t="s">
        <v>140</v>
      </c>
      <c r="D31" s="1650"/>
    </row>
    <row r="32" spans="2:4" ht="19.5" thickBot="1">
      <c r="B32" s="1649"/>
      <c r="C32" s="220" t="s">
        <v>819</v>
      </c>
      <c r="D32" s="1646"/>
    </row>
    <row r="33" spans="2:4" ht="38.25" thickBot="1">
      <c r="B33" s="226" t="s">
        <v>251</v>
      </c>
      <c r="C33" s="220" t="s">
        <v>908</v>
      </c>
      <c r="D33" s="221" t="s">
        <v>141</v>
      </c>
    </row>
    <row r="34" spans="2:4" ht="18.75">
      <c r="B34" s="1647" t="s">
        <v>253</v>
      </c>
      <c r="C34" s="219" t="s">
        <v>142</v>
      </c>
      <c r="D34" s="1645" t="s">
        <v>143</v>
      </c>
    </row>
    <row r="35" spans="2:4" ht="57" thickBot="1">
      <c r="B35" s="1649"/>
      <c r="C35" s="220" t="s">
        <v>144</v>
      </c>
      <c r="D35" s="1646"/>
    </row>
    <row r="36" spans="2:4" ht="37.5">
      <c r="B36" s="1647" t="s">
        <v>254</v>
      </c>
      <c r="C36" s="219" t="s">
        <v>145</v>
      </c>
      <c r="D36" s="1645" t="s">
        <v>146</v>
      </c>
    </row>
    <row r="37" spans="2:4" ht="37.5">
      <c r="B37" s="1648"/>
      <c r="C37" s="219" t="s">
        <v>147</v>
      </c>
      <c r="D37" s="1650"/>
    </row>
    <row r="38" spans="2:4" ht="18.75">
      <c r="B38" s="1648"/>
      <c r="C38" s="219" t="s">
        <v>148</v>
      </c>
      <c r="D38" s="1650"/>
    </row>
    <row r="39" spans="2:4" ht="18.75">
      <c r="B39" s="1648"/>
      <c r="C39" s="219" t="s">
        <v>912</v>
      </c>
      <c r="D39" s="1650"/>
    </row>
    <row r="40" spans="2:4" ht="18.75">
      <c r="B40" s="1648"/>
      <c r="C40" s="219" t="s">
        <v>149</v>
      </c>
      <c r="D40" s="1650"/>
    </row>
    <row r="41" spans="2:4" ht="18.75">
      <c r="B41" s="1648"/>
      <c r="C41" s="219" t="s">
        <v>150</v>
      </c>
      <c r="D41" s="1650"/>
    </row>
    <row r="42" spans="2:4" ht="37.5">
      <c r="B42" s="1648"/>
      <c r="C42" s="219" t="s">
        <v>151</v>
      </c>
      <c r="D42" s="1650"/>
    </row>
    <row r="43" spans="2:4" ht="18.75">
      <c r="B43" s="1648"/>
      <c r="C43" s="219" t="s">
        <v>152</v>
      </c>
      <c r="D43" s="1650"/>
    </row>
    <row r="44" spans="2:4" ht="18.75">
      <c r="B44" s="1648"/>
      <c r="C44" s="219" t="s">
        <v>153</v>
      </c>
      <c r="D44" s="1650"/>
    </row>
    <row r="45" spans="2:4" ht="18.75">
      <c r="B45" s="1648"/>
      <c r="C45" s="219" t="s">
        <v>911</v>
      </c>
      <c r="D45" s="1650"/>
    </row>
    <row r="46" spans="2:4" ht="43.5" customHeight="1">
      <c r="B46" s="1648"/>
      <c r="C46" s="219" t="s">
        <v>154</v>
      </c>
      <c r="D46" s="1650"/>
    </row>
    <row r="47" spans="2:4" ht="56.25">
      <c r="B47" s="1648"/>
      <c r="C47" s="219" t="s">
        <v>155</v>
      </c>
      <c r="D47" s="1650"/>
    </row>
    <row r="48" spans="2:4" ht="37.5">
      <c r="B48" s="1648"/>
      <c r="C48" s="219" t="s">
        <v>909</v>
      </c>
      <c r="D48" s="1650"/>
    </row>
    <row r="49" spans="2:4" ht="18.75">
      <c r="B49" s="1648"/>
      <c r="C49" s="219" t="s">
        <v>156</v>
      </c>
      <c r="D49" s="1650"/>
    </row>
    <row r="50" spans="2:4" ht="18.75">
      <c r="B50" s="1648"/>
      <c r="C50" s="219" t="s">
        <v>157</v>
      </c>
      <c r="D50" s="1650"/>
    </row>
    <row r="51" spans="2:4" ht="18.75">
      <c r="B51" s="1648"/>
      <c r="C51" s="219" t="s">
        <v>158</v>
      </c>
      <c r="D51" s="1650"/>
    </row>
    <row r="52" spans="2:4" ht="18.75">
      <c r="B52" s="1648"/>
      <c r="C52" s="219" t="s">
        <v>159</v>
      </c>
      <c r="D52" s="1650"/>
    </row>
    <row r="53" spans="2:4" ht="18.75">
      <c r="B53" s="1648"/>
      <c r="C53" s="219" t="s">
        <v>160</v>
      </c>
      <c r="D53" s="1650"/>
    </row>
    <row r="54" spans="2:4" ht="18.75">
      <c r="B54" s="1648"/>
      <c r="C54" s="219" t="s">
        <v>161</v>
      </c>
      <c r="D54" s="1650"/>
    </row>
    <row r="55" spans="2:4" ht="18.75">
      <c r="B55" s="1648"/>
      <c r="C55" s="219" t="s">
        <v>162</v>
      </c>
      <c r="D55" s="1650"/>
    </row>
    <row r="56" spans="2:4" ht="37.5">
      <c r="B56" s="1648"/>
      <c r="C56" s="219" t="s">
        <v>163</v>
      </c>
      <c r="D56" s="1650"/>
    </row>
    <row r="57" spans="2:4" ht="37.5">
      <c r="B57" s="1648"/>
      <c r="C57" s="219" t="s">
        <v>164</v>
      </c>
      <c r="D57" s="1650"/>
    </row>
    <row r="58" spans="2:4" ht="25.5" customHeight="1">
      <c r="B58" s="1648"/>
      <c r="C58" s="219" t="s">
        <v>165</v>
      </c>
      <c r="D58" s="1650"/>
    </row>
    <row r="59" spans="2:4" ht="18.75">
      <c r="B59" s="1648"/>
      <c r="C59" s="219" t="s">
        <v>166</v>
      </c>
      <c r="D59" s="1650"/>
    </row>
    <row r="60" spans="2:4" ht="18.75">
      <c r="B60" s="1648"/>
      <c r="C60" s="219" t="s">
        <v>167</v>
      </c>
      <c r="D60" s="1650"/>
    </row>
    <row r="61" spans="2:4" ht="18.75">
      <c r="B61" s="1648"/>
      <c r="C61" s="219" t="s">
        <v>168</v>
      </c>
      <c r="D61" s="1650"/>
    </row>
    <row r="62" spans="2:4" ht="18.75">
      <c r="B62" s="1648"/>
      <c r="C62" s="219" t="s">
        <v>169</v>
      </c>
      <c r="D62" s="1650"/>
    </row>
    <row r="63" spans="2:4" ht="37.5">
      <c r="B63" s="1648"/>
      <c r="C63" s="219" t="s">
        <v>170</v>
      </c>
      <c r="D63" s="1650"/>
    </row>
    <row r="64" spans="2:4" ht="37.5">
      <c r="B64" s="1648"/>
      <c r="C64" s="219" t="s">
        <v>171</v>
      </c>
      <c r="D64" s="1650"/>
    </row>
    <row r="65" spans="2:4" ht="37.5">
      <c r="B65" s="1648"/>
      <c r="C65" s="219" t="s">
        <v>172</v>
      </c>
      <c r="D65" s="1650"/>
    </row>
    <row r="66" spans="2:4" ht="18.75">
      <c r="B66" s="1648"/>
      <c r="C66" s="219" t="s">
        <v>173</v>
      </c>
      <c r="D66" s="1650"/>
    </row>
    <row r="67" spans="2:4" ht="37.5">
      <c r="B67" s="1648"/>
      <c r="C67" s="219" t="s">
        <v>174</v>
      </c>
      <c r="D67" s="1650"/>
    </row>
    <row r="68" spans="2:4" ht="37.5">
      <c r="B68" s="1648"/>
      <c r="C68" s="219" t="s">
        <v>175</v>
      </c>
      <c r="D68" s="1650"/>
    </row>
    <row r="69" spans="2:4" ht="18.75">
      <c r="B69" s="1648"/>
      <c r="C69" s="219" t="s">
        <v>176</v>
      </c>
      <c r="D69" s="1650"/>
    </row>
    <row r="70" spans="2:4" ht="37.5">
      <c r="B70" s="1648"/>
      <c r="C70" s="219" t="s">
        <v>177</v>
      </c>
      <c r="D70" s="1650"/>
    </row>
    <row r="71" spans="2:4" ht="37.5">
      <c r="B71" s="1648"/>
      <c r="C71" s="219" t="s">
        <v>910</v>
      </c>
      <c r="D71" s="1650"/>
    </row>
    <row r="72" spans="2:4" ht="37.5">
      <c r="B72" s="1648"/>
      <c r="C72" s="219" t="s">
        <v>178</v>
      </c>
      <c r="D72" s="1650"/>
    </row>
    <row r="73" spans="2:4" ht="18.75">
      <c r="B73" s="1648"/>
      <c r="C73" s="219" t="s">
        <v>179</v>
      </c>
      <c r="D73" s="1650"/>
    </row>
    <row r="74" spans="2:4" ht="18.75">
      <c r="B74" s="1648"/>
      <c r="C74" s="219" t="s">
        <v>180</v>
      </c>
      <c r="D74" s="1650"/>
    </row>
    <row r="75" spans="2:4" ht="18.75">
      <c r="B75" s="1648"/>
      <c r="C75" s="219" t="s">
        <v>181</v>
      </c>
      <c r="D75" s="1650"/>
    </row>
    <row r="76" spans="2:4" ht="18.75">
      <c r="B76" s="1648"/>
      <c r="C76" s="219" t="s">
        <v>182</v>
      </c>
      <c r="D76" s="1650"/>
    </row>
    <row r="77" spans="2:4" ht="37.5">
      <c r="B77" s="1648"/>
      <c r="C77" s="219" t="s">
        <v>183</v>
      </c>
      <c r="D77" s="1650"/>
    </row>
    <row r="78" spans="2:4" ht="18.75">
      <c r="B78" s="1648"/>
      <c r="C78" s="219" t="s">
        <v>184</v>
      </c>
      <c r="D78" s="1650"/>
    </row>
    <row r="79" spans="2:4" ht="18.75">
      <c r="B79" s="1648"/>
      <c r="C79" s="219" t="s">
        <v>185</v>
      </c>
      <c r="D79" s="1650"/>
    </row>
    <row r="80" spans="2:4" ht="18.75">
      <c r="B80" s="1648"/>
      <c r="C80" s="219" t="s">
        <v>186</v>
      </c>
      <c r="D80" s="1650"/>
    </row>
    <row r="81" spans="2:4" ht="18.75">
      <c r="B81" s="1648"/>
      <c r="C81" s="219" t="s">
        <v>187</v>
      </c>
      <c r="D81" s="1650"/>
    </row>
    <row r="82" spans="2:4" ht="18.75">
      <c r="B82" s="1648"/>
      <c r="C82" s="219" t="s">
        <v>188</v>
      </c>
      <c r="D82" s="1650"/>
    </row>
    <row r="83" spans="2:4" ht="18.75">
      <c r="B83" s="1648"/>
      <c r="C83" s="219" t="s">
        <v>189</v>
      </c>
      <c r="D83" s="1650"/>
    </row>
    <row r="84" spans="2:4" ht="56.25">
      <c r="B84" s="1648"/>
      <c r="C84" s="219" t="s">
        <v>190</v>
      </c>
      <c r="D84" s="1650"/>
    </row>
    <row r="85" spans="2:4" ht="37.5">
      <c r="B85" s="1648"/>
      <c r="C85" s="219" t="s">
        <v>191</v>
      </c>
      <c r="D85" s="1650"/>
    </row>
    <row r="86" spans="2:4" ht="37.5">
      <c r="B86" s="1648"/>
      <c r="C86" s="219" t="s">
        <v>192</v>
      </c>
      <c r="D86" s="1650"/>
    </row>
    <row r="87" spans="2:4" ht="37.5">
      <c r="B87" s="1648"/>
      <c r="C87" s="219" t="s">
        <v>193</v>
      </c>
      <c r="D87" s="1650"/>
    </row>
    <row r="88" spans="2:4" ht="37.5">
      <c r="B88" s="1648"/>
      <c r="C88" s="219" t="s">
        <v>194</v>
      </c>
      <c r="D88" s="1650"/>
    </row>
    <row r="89" spans="2:4" ht="18.75">
      <c r="B89" s="1648"/>
      <c r="C89" s="219" t="s">
        <v>195</v>
      </c>
      <c r="D89" s="1650"/>
    </row>
    <row r="90" spans="2:4" ht="18.75">
      <c r="B90" s="1648"/>
      <c r="C90" s="219" t="s">
        <v>196</v>
      </c>
      <c r="D90" s="1650"/>
    </row>
    <row r="91" spans="2:4" ht="18.75">
      <c r="B91" s="1648"/>
      <c r="C91" s="219" t="s">
        <v>197</v>
      </c>
      <c r="D91" s="1650"/>
    </row>
    <row r="92" spans="2:4" ht="18.75">
      <c r="B92" s="1648"/>
      <c r="C92" s="219" t="s">
        <v>198</v>
      </c>
      <c r="D92" s="1650"/>
    </row>
    <row r="93" spans="2:4" ht="18.75">
      <c r="B93" s="1648"/>
      <c r="C93" s="219" t="s">
        <v>199</v>
      </c>
      <c r="D93" s="1650"/>
    </row>
    <row r="94" spans="2:4" ht="18.75">
      <c r="B94" s="1648"/>
      <c r="C94" s="219" t="s">
        <v>200</v>
      </c>
      <c r="D94" s="1650"/>
    </row>
    <row r="95" spans="2:4" ht="18.75">
      <c r="B95" s="1648"/>
      <c r="C95" s="219" t="s">
        <v>201</v>
      </c>
      <c r="D95" s="1650"/>
    </row>
    <row r="96" spans="2:4" ht="18.75">
      <c r="B96" s="1648"/>
      <c r="C96" s="219" t="s">
        <v>202</v>
      </c>
      <c r="D96" s="1650"/>
    </row>
    <row r="97" spans="2:4" ht="18.75">
      <c r="B97" s="1648"/>
      <c r="C97" s="219" t="s">
        <v>203</v>
      </c>
      <c r="D97" s="1650"/>
    </row>
    <row r="98" spans="2:4" ht="18.75">
      <c r="B98" s="1648"/>
      <c r="C98" s="219" t="s">
        <v>204</v>
      </c>
      <c r="D98" s="1650"/>
    </row>
    <row r="99" spans="2:4" ht="75">
      <c r="B99" s="1648"/>
      <c r="C99" s="219" t="s">
        <v>205</v>
      </c>
      <c r="D99" s="1650"/>
    </row>
    <row r="100" spans="2:4" ht="18.75">
      <c r="B100" s="1648"/>
      <c r="C100" s="219" t="s">
        <v>206</v>
      </c>
      <c r="D100" s="1650"/>
    </row>
    <row r="101" spans="2:4" ht="18.75">
      <c r="B101" s="1648"/>
      <c r="C101" s="219" t="s">
        <v>207</v>
      </c>
      <c r="D101" s="1650"/>
    </row>
    <row r="102" spans="2:4" ht="37.5">
      <c r="B102" s="1648"/>
      <c r="C102" s="219" t="s">
        <v>208</v>
      </c>
      <c r="D102" s="1650"/>
    </row>
    <row r="103" spans="2:4" ht="37.5">
      <c r="B103" s="1648"/>
      <c r="C103" s="222" t="s">
        <v>209</v>
      </c>
      <c r="D103" s="1650"/>
    </row>
    <row r="104" spans="2:4" ht="19.5" thickBot="1">
      <c r="B104" s="1649"/>
      <c r="C104" s="220"/>
      <c r="D104" s="1646"/>
    </row>
    <row r="105" spans="2:4" ht="37.5">
      <c r="B105" s="1647" t="s">
        <v>255</v>
      </c>
      <c r="C105" s="219" t="s">
        <v>210</v>
      </c>
      <c r="D105" s="1645" t="s">
        <v>211</v>
      </c>
    </row>
    <row r="106" spans="2:4" ht="18.75">
      <c r="B106" s="1648"/>
      <c r="C106" s="219" t="s">
        <v>212</v>
      </c>
      <c r="D106" s="1650"/>
    </row>
    <row r="107" spans="2:4" ht="37.5">
      <c r="B107" s="1648"/>
      <c r="C107" s="219" t="s">
        <v>213</v>
      </c>
      <c r="D107" s="1650"/>
    </row>
    <row r="108" spans="2:4" ht="18.75">
      <c r="B108" s="1648"/>
      <c r="C108" s="219" t="s">
        <v>214</v>
      </c>
      <c r="D108" s="1650"/>
    </row>
    <row r="109" spans="2:4" ht="18.75">
      <c r="B109" s="1648"/>
      <c r="C109" s="219" t="s">
        <v>215</v>
      </c>
      <c r="D109" s="1650"/>
    </row>
    <row r="110" spans="2:4" ht="18.75">
      <c r="B110" s="1648"/>
      <c r="C110" s="219" t="s">
        <v>216</v>
      </c>
      <c r="D110" s="1650"/>
    </row>
    <row r="111" spans="2:4" ht="18.75">
      <c r="B111" s="1648"/>
      <c r="C111" s="219" t="s">
        <v>217</v>
      </c>
      <c r="D111" s="1650"/>
    </row>
    <row r="112" spans="2:4" ht="18.75">
      <c r="B112" s="1648"/>
      <c r="C112" s="219" t="s">
        <v>218</v>
      </c>
      <c r="D112" s="1650"/>
    </row>
    <row r="113" spans="2:4" ht="56.25">
      <c r="B113" s="1648"/>
      <c r="C113" s="219" t="s">
        <v>219</v>
      </c>
      <c r="D113" s="1650"/>
    </row>
    <row r="114" spans="2:4" ht="37.5">
      <c r="B114" s="1648"/>
      <c r="C114" s="219" t="s">
        <v>220</v>
      </c>
      <c r="D114" s="1650"/>
    </row>
    <row r="115" spans="2:4" ht="37.5">
      <c r="B115" s="1648"/>
      <c r="C115" s="219" t="s">
        <v>221</v>
      </c>
      <c r="D115" s="1650"/>
    </row>
    <row r="116" spans="2:4" ht="37.5">
      <c r="B116" s="1648"/>
      <c r="C116" s="219" t="s">
        <v>222</v>
      </c>
      <c r="D116" s="1650"/>
    </row>
    <row r="117" spans="2:4" ht="37.5">
      <c r="B117" s="1648"/>
      <c r="C117" s="219" t="s">
        <v>223</v>
      </c>
      <c r="D117" s="1650"/>
    </row>
    <row r="118" spans="2:4" ht="18.75">
      <c r="B118" s="1648"/>
      <c r="C118" s="219" t="s">
        <v>224</v>
      </c>
      <c r="D118" s="1650"/>
    </row>
    <row r="119" spans="2:4" ht="18.75">
      <c r="B119" s="1648"/>
      <c r="C119" s="219" t="s">
        <v>225</v>
      </c>
      <c r="D119" s="1650"/>
    </row>
    <row r="120" spans="2:4" ht="37.5">
      <c r="B120" s="1648"/>
      <c r="C120" s="219" t="s">
        <v>226</v>
      </c>
      <c r="D120" s="1650"/>
    </row>
    <row r="121" spans="2:4" ht="37.5">
      <c r="B121" s="1648"/>
      <c r="C121" s="219" t="s">
        <v>227</v>
      </c>
      <c r="D121" s="1650"/>
    </row>
    <row r="122" spans="2:4" ht="37.5">
      <c r="B122" s="1648"/>
      <c r="C122" s="219" t="s">
        <v>228</v>
      </c>
      <c r="D122" s="1650"/>
    </row>
    <row r="123" spans="2:4" ht="37.5">
      <c r="B123" s="1648"/>
      <c r="C123" s="219" t="s">
        <v>229</v>
      </c>
      <c r="D123" s="1650"/>
    </row>
    <row r="124" spans="2:4" ht="37.5">
      <c r="B124" s="1648"/>
      <c r="C124" s="223" t="s">
        <v>230</v>
      </c>
      <c r="D124" s="1650"/>
    </row>
    <row r="125" spans="2:4" ht="37.5">
      <c r="B125" s="1648"/>
      <c r="C125" s="219" t="s">
        <v>231</v>
      </c>
      <c r="D125" s="1650"/>
    </row>
    <row r="126" spans="2:4" ht="19.5" thickBot="1">
      <c r="B126" s="1649"/>
      <c r="C126" s="220" t="s">
        <v>232</v>
      </c>
      <c r="D126" s="1646"/>
    </row>
    <row r="127" spans="2:4" ht="18.75">
      <c r="B127" s="1647" t="s">
        <v>256</v>
      </c>
      <c r="C127" s="219" t="s">
        <v>233</v>
      </c>
      <c r="D127" s="1645" t="s">
        <v>234</v>
      </c>
    </row>
    <row r="128" spans="2:4" ht="18.75">
      <c r="B128" s="1648"/>
      <c r="C128" s="219" t="s">
        <v>235</v>
      </c>
      <c r="D128" s="1650"/>
    </row>
    <row r="129" spans="2:5" ht="29.25" customHeight="1" thickBot="1">
      <c r="B129" s="1649"/>
      <c r="C129" s="220" t="s">
        <v>236</v>
      </c>
      <c r="D129" s="1646"/>
    </row>
    <row r="130" spans="2:5" ht="18.75">
      <c r="B130" s="1647" t="s">
        <v>257</v>
      </c>
      <c r="C130" s="235"/>
      <c r="D130" s="1645" t="s">
        <v>234</v>
      </c>
      <c r="E130" s="231"/>
    </row>
    <row r="131" spans="2:5" ht="18.75">
      <c r="B131" s="1648"/>
      <c r="C131" s="219" t="s">
        <v>237</v>
      </c>
      <c r="D131" s="1650"/>
    </row>
    <row r="132" spans="2:5" ht="19.5" thickBot="1">
      <c r="B132" s="1649"/>
      <c r="C132" s="220"/>
      <c r="D132" s="1646"/>
    </row>
    <row r="133" spans="2:5" ht="18.75">
      <c r="B133" s="232"/>
      <c r="C133" s="234"/>
      <c r="D133" s="233"/>
    </row>
    <row r="134" spans="2:5" ht="23.25" customHeight="1">
      <c r="B134" s="1641" t="s">
        <v>917</v>
      </c>
      <c r="C134" s="1642"/>
      <c r="D134" s="1642"/>
    </row>
    <row r="135" spans="2:5" ht="23.25" customHeight="1">
      <c r="B135" s="1641" t="s">
        <v>913</v>
      </c>
      <c r="C135" s="1642"/>
      <c r="D135" s="1642"/>
    </row>
    <row r="136" spans="2:5" ht="23.25" customHeight="1">
      <c r="B136" s="1641" t="s">
        <v>914</v>
      </c>
      <c r="C136" s="1642"/>
      <c r="D136" s="1642"/>
    </row>
    <row r="137" spans="2:5" ht="23.25" customHeight="1">
      <c r="B137" s="1641" t="s">
        <v>915</v>
      </c>
      <c r="C137" s="1642"/>
      <c r="D137" s="1642"/>
    </row>
    <row r="138" spans="2:5" ht="18.75">
      <c r="B138" s="214"/>
      <c r="C138" s="225"/>
      <c r="D138" s="225"/>
    </row>
    <row r="139" spans="2:5" ht="20.25" customHeight="1">
      <c r="B139" s="1656" t="s">
        <v>238</v>
      </c>
      <c r="C139" s="1657"/>
      <c r="D139" s="1657"/>
    </row>
    <row r="140" spans="2:5" ht="20.25" customHeight="1">
      <c r="B140" s="1654" t="s">
        <v>916</v>
      </c>
      <c r="C140" s="1655"/>
      <c r="D140" s="1655"/>
    </row>
    <row r="141" spans="2:5" ht="20.25" customHeight="1">
      <c r="B141" s="1654" t="s">
        <v>239</v>
      </c>
      <c r="C141" s="1655"/>
      <c r="D141" s="1655"/>
    </row>
    <row r="142" spans="2:5" ht="20.25" customHeight="1">
      <c r="B142" s="1653" t="s">
        <v>125</v>
      </c>
      <c r="C142" s="1652"/>
      <c r="D142" s="1652"/>
    </row>
    <row r="143" spans="2:5" ht="24" customHeight="1">
      <c r="B143" s="1641" t="s">
        <v>240</v>
      </c>
      <c r="C143" s="1644"/>
      <c r="D143" s="1644"/>
    </row>
    <row r="144" spans="2:5" ht="57" customHeight="1">
      <c r="B144" s="213"/>
    </row>
    <row r="145" spans="2:5" ht="57" customHeight="1">
      <c r="B145" s="213"/>
    </row>
    <row r="146" spans="2:5" ht="57" customHeight="1">
      <c r="B146" s="213"/>
      <c r="E146" s="231"/>
    </row>
    <row r="147" spans="2:5" ht="57" customHeight="1">
      <c r="B147" s="214"/>
    </row>
    <row r="148" spans="2:5" ht="57" customHeight="1">
      <c r="B148" s="224"/>
    </row>
    <row r="149" spans="2:5" ht="57" customHeight="1">
      <c r="B149" s="214"/>
      <c r="E149" s="231"/>
    </row>
    <row r="150" spans="2:5" ht="57" customHeight="1">
      <c r="B150" s="214"/>
    </row>
    <row r="151" spans="2:5" ht="57" customHeight="1">
      <c r="B151" s="214"/>
    </row>
    <row r="152" spans="2:5" ht="57" customHeight="1">
      <c r="B152" s="214"/>
    </row>
    <row r="153" spans="2:5" ht="57" customHeight="1">
      <c r="B153" s="214"/>
    </row>
    <row r="154" spans="2:5" ht="18.75">
      <c r="B154" s="214"/>
    </row>
  </sheetData>
  <mergeCells count="35">
    <mergeCell ref="B141:D141"/>
    <mergeCell ref="B136:D136"/>
    <mergeCell ref="B14:D14"/>
    <mergeCell ref="B139:D139"/>
    <mergeCell ref="B13:D13"/>
    <mergeCell ref="B130:B132"/>
    <mergeCell ref="D130:D132"/>
    <mergeCell ref="D105:D126"/>
    <mergeCell ref="D36:D104"/>
    <mergeCell ref="D17:D28"/>
    <mergeCell ref="D29:D32"/>
    <mergeCell ref="B105:B126"/>
    <mergeCell ref="B143:D143"/>
    <mergeCell ref="B9:D9"/>
    <mergeCell ref="B10:D10"/>
    <mergeCell ref="D34:D35"/>
    <mergeCell ref="B36:B104"/>
    <mergeCell ref="B17:B28"/>
    <mergeCell ref="B127:B129"/>
    <mergeCell ref="D127:D129"/>
    <mergeCell ref="B29:B32"/>
    <mergeCell ref="B34:B35"/>
    <mergeCell ref="B12:D12"/>
    <mergeCell ref="B142:D142"/>
    <mergeCell ref="B134:D134"/>
    <mergeCell ref="B135:D135"/>
    <mergeCell ref="B137:D137"/>
    <mergeCell ref="B140:D140"/>
    <mergeCell ref="B1:E1"/>
    <mergeCell ref="B3:E3"/>
    <mergeCell ref="B5:E5"/>
    <mergeCell ref="B11:D11"/>
    <mergeCell ref="B8:D8"/>
    <mergeCell ref="B6:D6"/>
    <mergeCell ref="B7:C7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67"/>
  <sheetViews>
    <sheetView workbookViewId="0">
      <selection activeCell="P14" sqref="P14"/>
    </sheetView>
  </sheetViews>
  <sheetFormatPr defaultRowHeight="18.75"/>
  <cols>
    <col min="1" max="1" width="36.7109375" style="937" customWidth="1"/>
    <col min="2" max="2" width="16.28515625" style="224" customWidth="1"/>
    <col min="3" max="4" width="17.85546875" style="991" customWidth="1"/>
    <col min="5" max="5" width="15.5703125" style="991" customWidth="1"/>
    <col min="6" max="6" width="4.28515625" style="991" customWidth="1"/>
    <col min="7" max="7" width="4.85546875" style="991" customWidth="1"/>
    <col min="8" max="8" width="3.42578125" style="991" customWidth="1"/>
    <col min="9" max="9" width="9" style="991" hidden="1" customWidth="1"/>
    <col min="10" max="10" width="13.85546875" style="991" customWidth="1"/>
    <col min="11" max="11" width="11.42578125" style="991" customWidth="1"/>
    <col min="12" max="12" width="9" style="991" customWidth="1"/>
    <col min="13" max="16384" width="9.140625" style="224"/>
  </cols>
  <sheetData>
    <row r="2" spans="1:12">
      <c r="A2" s="1659" t="s">
        <v>897</v>
      </c>
      <c r="B2" s="1659"/>
      <c r="C2" s="1659"/>
      <c r="D2" s="1659"/>
      <c r="E2" s="1659"/>
      <c r="F2" s="1659"/>
      <c r="G2" s="1659"/>
      <c r="H2" s="1659"/>
      <c r="I2" s="1659"/>
      <c r="J2" s="1659"/>
    </row>
    <row r="3" spans="1:12">
      <c r="B3" s="848"/>
    </row>
    <row r="4" spans="1:12">
      <c r="B4" s="215"/>
      <c r="J4" s="991" t="s">
        <v>918</v>
      </c>
      <c r="L4" s="1006">
        <v>1</v>
      </c>
    </row>
    <row r="5" spans="1:12">
      <c r="B5" s="215"/>
      <c r="J5" s="991" t="s">
        <v>109</v>
      </c>
    </row>
    <row r="6" spans="1:12">
      <c r="B6" s="215"/>
      <c r="J6" s="991" t="s">
        <v>816</v>
      </c>
    </row>
    <row r="7" spans="1:12">
      <c r="B7" s="215"/>
    </row>
    <row r="8" spans="1:12">
      <c r="A8" s="998" t="s">
        <v>919</v>
      </c>
      <c r="B8" s="215"/>
    </row>
    <row r="9" spans="1:12">
      <c r="B9" s="215"/>
    </row>
    <row r="10" spans="1:12" ht="23.25">
      <c r="A10" s="1673" t="s">
        <v>1218</v>
      </c>
      <c r="B10" s="1673"/>
      <c r="C10" s="1673"/>
      <c r="D10" s="1673"/>
      <c r="E10" s="1673"/>
      <c r="F10" s="1673"/>
      <c r="G10" s="1673"/>
      <c r="H10" s="1673"/>
      <c r="I10" s="1673"/>
      <c r="J10" s="1673"/>
      <c r="K10" s="1673"/>
      <c r="L10" s="1673"/>
    </row>
    <row r="11" spans="1:12" ht="78.75" customHeight="1">
      <c r="A11" s="1672" t="s">
        <v>1216</v>
      </c>
      <c r="B11" s="1672"/>
      <c r="C11" s="1672"/>
      <c r="D11" s="1672"/>
      <c r="E11" s="1672"/>
      <c r="F11" s="1672"/>
      <c r="G11" s="1672"/>
      <c r="H11" s="1672"/>
      <c r="I11" s="1672"/>
      <c r="J11" s="1672"/>
      <c r="K11" s="1672"/>
      <c r="L11" s="1672"/>
    </row>
    <row r="13" spans="1:12" ht="18.75" customHeight="1">
      <c r="A13" s="1676" t="s">
        <v>460</v>
      </c>
      <c r="B13" s="1675" t="s">
        <v>110</v>
      </c>
      <c r="C13" s="1663" t="s">
        <v>111</v>
      </c>
      <c r="D13" s="1663"/>
      <c r="E13" s="1664" t="s">
        <v>112</v>
      </c>
    </row>
    <row r="14" spans="1:12" ht="93" customHeight="1">
      <c r="A14" s="1682"/>
      <c r="B14" s="1675"/>
      <c r="C14" s="988" t="s">
        <v>113</v>
      </c>
      <c r="D14" s="988" t="s">
        <v>114</v>
      </c>
      <c r="E14" s="1665"/>
    </row>
    <row r="15" spans="1:12" ht="19.5" customHeight="1">
      <c r="A15" s="1677"/>
      <c r="B15" s="1675"/>
      <c r="C15" s="989" t="s">
        <v>818</v>
      </c>
      <c r="D15" s="989" t="s">
        <v>115</v>
      </c>
      <c r="E15" s="989" t="s">
        <v>115</v>
      </c>
    </row>
    <row r="16" spans="1:12">
      <c r="A16" s="1666" t="str">
        <f>'Реквизиты организации'!C8</f>
        <v>МУ МПЖКХ Гусь-Железный</v>
      </c>
      <c r="B16" s="988">
        <v>2020</v>
      </c>
      <c r="C16" s="1000">
        <f>'Свод долгосрочный '!H164</f>
        <v>751630.70846434741</v>
      </c>
      <c r="D16" s="1000">
        <f>'Свод долгосрочный '!H167</f>
        <v>859.46543765081412</v>
      </c>
      <c r="E16" s="1000">
        <f>'Свод долгосрочный '!K170</f>
        <v>2740.9965646190681</v>
      </c>
    </row>
    <row r="17" spans="1:12">
      <c r="A17" s="1667"/>
      <c r="B17" s="988">
        <v>2021</v>
      </c>
      <c r="C17" s="1000">
        <f>'Свод долгосрочный '!J164</f>
        <v>667889.35063271073</v>
      </c>
      <c r="D17" s="1000">
        <f>'Свод долгосрочный '!J167</f>
        <v>900.69747684150718</v>
      </c>
      <c r="E17" s="1000">
        <f>'Свод долгосрочный '!L170</f>
        <v>2999.1202847364489</v>
      </c>
    </row>
    <row r="18" spans="1:12">
      <c r="A18" s="1667"/>
      <c r="B18" s="988">
        <v>2022</v>
      </c>
      <c r="C18" s="1000">
        <f>'Свод долгосрочный '!K164</f>
        <v>823236.70737642667</v>
      </c>
      <c r="D18" s="1000">
        <f>'Свод долгосрочный '!K167</f>
        <v>944.83989332565682</v>
      </c>
      <c r="E18" s="1000">
        <f>'Свод долгосрочный '!M170</f>
        <v>3128.8616253518512</v>
      </c>
    </row>
    <row r="19" spans="1:12">
      <c r="A19" s="1667"/>
      <c r="B19" s="988">
        <v>2023</v>
      </c>
      <c r="C19" s="1000">
        <f>'Свод долгосрочный '!M164</f>
        <v>947861.40217583696</v>
      </c>
      <c r="D19" s="1000">
        <f>'Свод долгосрочный '!L167</f>
        <v>992.05453225713836</v>
      </c>
      <c r="E19" s="1000">
        <f>'Свод долгосрочный '!N170</f>
        <v>3246.1907659884873</v>
      </c>
    </row>
    <row r="20" spans="1:12">
      <c r="A20" s="1668"/>
      <c r="B20" s="988">
        <v>2024</v>
      </c>
      <c r="C20" s="1000">
        <f>'Свод долгосрочный '!N164</f>
        <v>974630.60167778318</v>
      </c>
      <c r="D20" s="1000">
        <f>'Свод долгосрочный '!M167</f>
        <v>1047.6095860635382</v>
      </c>
      <c r="E20" s="1000">
        <f>'Свод долгосрочный '!N170</f>
        <v>3246.1907659884873</v>
      </c>
    </row>
    <row r="21" spans="1:12" ht="10.5" customHeight="1">
      <c r="A21" s="224"/>
      <c r="C21" s="224"/>
      <c r="D21" s="224"/>
      <c r="E21" s="224"/>
      <c r="F21" s="999"/>
    </row>
    <row r="22" spans="1:12" ht="39" customHeight="1">
      <c r="A22" s="1672" t="s">
        <v>817</v>
      </c>
      <c r="B22" s="1672"/>
      <c r="C22" s="1672"/>
      <c r="D22" s="1672"/>
      <c r="E22" s="1672"/>
      <c r="F22" s="1672"/>
      <c r="G22" s="1672"/>
      <c r="H22" s="1672"/>
      <c r="I22" s="1672"/>
      <c r="J22" s="1672"/>
      <c r="K22" s="1672"/>
      <c r="L22" s="1672"/>
    </row>
    <row r="23" spans="1:12" ht="9.75" customHeight="1">
      <c r="K23" s="1674"/>
      <c r="L23" s="1674"/>
    </row>
    <row r="24" spans="1:12" ht="243.75" customHeight="1">
      <c r="A24" s="1676" t="s">
        <v>460</v>
      </c>
      <c r="B24" s="1676" t="s">
        <v>110</v>
      </c>
      <c r="C24" s="996" t="s">
        <v>461</v>
      </c>
      <c r="D24" s="996" t="s">
        <v>116</v>
      </c>
      <c r="E24" s="996" t="s">
        <v>462</v>
      </c>
      <c r="F24" s="1678" t="s">
        <v>1055</v>
      </c>
      <c r="G24" s="1679"/>
      <c r="H24" s="1679"/>
      <c r="I24" s="1680"/>
      <c r="J24" s="997" t="s">
        <v>1056</v>
      </c>
      <c r="K24" s="996" t="s">
        <v>1058</v>
      </c>
      <c r="L24" s="996" t="s">
        <v>1059</v>
      </c>
    </row>
    <row r="25" spans="1:12" ht="25.5" customHeight="1">
      <c r="A25" s="1677"/>
      <c r="B25" s="1677"/>
      <c r="C25" s="992" t="s">
        <v>463</v>
      </c>
      <c r="D25" s="992" t="s">
        <v>283</v>
      </c>
      <c r="E25" s="992" t="s">
        <v>283</v>
      </c>
      <c r="F25" s="1669" t="s">
        <v>283</v>
      </c>
      <c r="G25" s="1670"/>
      <c r="H25" s="1670"/>
      <c r="I25" s="1671"/>
      <c r="J25" s="992" t="s">
        <v>1057</v>
      </c>
      <c r="K25" s="992" t="s">
        <v>696</v>
      </c>
      <c r="L25" s="992"/>
    </row>
    <row r="26" spans="1:12">
      <c r="A26" s="938">
        <v>1</v>
      </c>
      <c r="B26" s="938">
        <v>2</v>
      </c>
      <c r="C26" s="993">
        <v>3</v>
      </c>
      <c r="D26" s="993">
        <v>4</v>
      </c>
      <c r="E26" s="993">
        <v>5</v>
      </c>
      <c r="F26" s="1669">
        <v>6</v>
      </c>
      <c r="G26" s="1670"/>
      <c r="H26" s="1670"/>
      <c r="I26" s="1671"/>
      <c r="J26" s="993">
        <v>7</v>
      </c>
      <c r="K26" s="993">
        <v>8</v>
      </c>
      <c r="L26" s="993">
        <v>9</v>
      </c>
    </row>
    <row r="27" spans="1:12">
      <c r="A27" s="1666" t="str">
        <f>A16</f>
        <v>МУ МПЖКХ Гусь-Железный</v>
      </c>
      <c r="B27" s="990">
        <v>2020</v>
      </c>
      <c r="C27" s="1001">
        <f>'Свод долгосрочный '!H18</f>
        <v>25545.44060696449</v>
      </c>
      <c r="D27" s="1002">
        <v>0.01</v>
      </c>
      <c r="E27" s="989">
        <v>0.75</v>
      </c>
      <c r="F27" s="1660">
        <f>'Свод долгосрочный '!H124</f>
        <v>0.19646776047653883</v>
      </c>
      <c r="G27" s="1661"/>
      <c r="H27" s="1662"/>
      <c r="I27" s="989"/>
      <c r="J27" s="1611">
        <v>1</v>
      </c>
      <c r="K27" s="1611">
        <v>1.1000000000000001</v>
      </c>
      <c r="L27" s="989">
        <v>0</v>
      </c>
    </row>
    <row r="28" spans="1:12">
      <c r="A28" s="1667"/>
      <c r="B28" s="990">
        <v>2021</v>
      </c>
      <c r="C28" s="1001">
        <f>'Свод долгосрочный '!J18</f>
        <v>25470.706542431551</v>
      </c>
      <c r="D28" s="1002">
        <v>0.01</v>
      </c>
      <c r="E28" s="989">
        <v>0.75</v>
      </c>
      <c r="F28" s="1660">
        <v>0.19646788462678239</v>
      </c>
      <c r="G28" s="1661"/>
      <c r="H28" s="1662"/>
      <c r="I28" s="989"/>
      <c r="J28" s="989">
        <f>J27</f>
        <v>1</v>
      </c>
      <c r="K28" s="989">
        <f>K27</f>
        <v>1.1000000000000001</v>
      </c>
      <c r="L28" s="989">
        <v>0</v>
      </c>
    </row>
    <row r="29" spans="1:12">
      <c r="A29" s="1667"/>
      <c r="B29" s="990">
        <v>2022</v>
      </c>
      <c r="C29" s="1001">
        <f>'Свод долгосрочный '!K18</f>
        <v>30644.581989483868</v>
      </c>
      <c r="D29" s="1002">
        <v>0.01</v>
      </c>
      <c r="E29" s="989">
        <v>0.75</v>
      </c>
      <c r="F29" s="1660">
        <v>0.19646788462678239</v>
      </c>
      <c r="G29" s="1661"/>
      <c r="H29" s="1662"/>
      <c r="I29" s="989"/>
      <c r="J29" s="1611">
        <f t="shared" ref="J29:J31" si="0">J28</f>
        <v>1</v>
      </c>
      <c r="K29" s="989">
        <f>K28</f>
        <v>1.1000000000000001</v>
      </c>
      <c r="L29" s="989">
        <v>0</v>
      </c>
    </row>
    <row r="30" spans="1:12">
      <c r="A30" s="1667"/>
      <c r="B30" s="990">
        <v>2023</v>
      </c>
      <c r="C30" s="1001">
        <f>'Свод долгосрочный '!L18</f>
        <v>31481.608647461562</v>
      </c>
      <c r="D30" s="1002">
        <v>0.01</v>
      </c>
      <c r="E30" s="989">
        <v>0.75</v>
      </c>
      <c r="F30" s="1660">
        <v>0.19646788462678239</v>
      </c>
      <c r="G30" s="1661"/>
      <c r="H30" s="1662"/>
      <c r="I30" s="989"/>
      <c r="J30" s="1611">
        <f t="shared" si="0"/>
        <v>1</v>
      </c>
      <c r="K30" s="989">
        <f>K29</f>
        <v>1.1000000000000001</v>
      </c>
      <c r="L30" s="989">
        <v>0</v>
      </c>
    </row>
    <row r="31" spans="1:12">
      <c r="A31" s="1668"/>
      <c r="B31" s="990">
        <v>2024</v>
      </c>
      <c r="C31" s="1001">
        <f>'Свод долгосрочный '!M18</f>
        <v>32413.464263426427</v>
      </c>
      <c r="D31" s="1002">
        <v>0.01</v>
      </c>
      <c r="E31" s="989">
        <v>0.75</v>
      </c>
      <c r="F31" s="1660">
        <v>0.19646788462678239</v>
      </c>
      <c r="G31" s="1661"/>
      <c r="H31" s="1662"/>
      <c r="I31" s="989"/>
      <c r="J31" s="1611">
        <f t="shared" si="0"/>
        <v>1</v>
      </c>
      <c r="K31" s="989">
        <f>K30</f>
        <v>1.1000000000000001</v>
      </c>
      <c r="L31" s="989">
        <v>0</v>
      </c>
    </row>
    <row r="32" spans="1:12" ht="19.5" customHeight="1">
      <c r="A32" s="224"/>
      <c r="C32" s="224"/>
      <c r="D32" s="224"/>
      <c r="E32" s="224"/>
      <c r="F32" s="994"/>
      <c r="G32" s="994"/>
      <c r="H32" s="994"/>
    </row>
    <row r="33" spans="1:12" ht="6.75" customHeight="1">
      <c r="D33" s="994"/>
      <c r="E33" s="994"/>
      <c r="F33" s="994"/>
      <c r="G33" s="994"/>
      <c r="H33" s="994"/>
    </row>
    <row r="34" spans="1:12" ht="135" customHeight="1">
      <c r="A34" s="1664" t="s">
        <v>896</v>
      </c>
      <c r="B34" s="1663" t="s">
        <v>110</v>
      </c>
      <c r="C34" s="988" t="s">
        <v>117</v>
      </c>
      <c r="D34" s="994"/>
      <c r="E34" s="994"/>
    </row>
    <row r="35" spans="1:12">
      <c r="A35" s="1665"/>
      <c r="B35" s="1663"/>
      <c r="C35" s="989" t="s">
        <v>288</v>
      </c>
      <c r="D35" s="994"/>
      <c r="E35" s="994"/>
    </row>
    <row r="36" spans="1:12">
      <c r="A36" s="1666" t="str">
        <f>A27</f>
        <v>МУ МПЖКХ Гусь-Железный</v>
      </c>
      <c r="B36" s="990">
        <v>2020</v>
      </c>
      <c r="C36" s="1001">
        <f>'Свод долгосрочный '!H85</f>
        <v>37873.168138101537</v>
      </c>
      <c r="D36" s="994"/>
      <c r="E36" s="994"/>
    </row>
    <row r="37" spans="1:12">
      <c r="A37" s="1667"/>
      <c r="B37" s="990">
        <v>2021</v>
      </c>
      <c r="C37" s="1001">
        <f>'Свод долгосрочный '!J85</f>
        <v>34152.922678214047</v>
      </c>
      <c r="D37" s="994"/>
      <c r="E37" s="994"/>
    </row>
    <row r="38" spans="1:12">
      <c r="A38" s="1667"/>
      <c r="B38" s="990">
        <v>2022</v>
      </c>
      <c r="C38" s="1001">
        <f>'Свод долгосрочный '!K85</f>
        <v>41841.828889114266</v>
      </c>
      <c r="D38" s="994"/>
      <c r="E38" s="994"/>
    </row>
    <row r="39" spans="1:12">
      <c r="A39" s="1667"/>
      <c r="B39" s="990">
        <v>2023</v>
      </c>
      <c r="C39" s="1001">
        <f>'Свод долгосрочный '!L85</f>
        <v>46933.964096997435</v>
      </c>
      <c r="D39" s="994"/>
      <c r="E39" s="994"/>
    </row>
    <row r="40" spans="1:12">
      <c r="A40" s="1668"/>
      <c r="B40" s="990">
        <v>2024</v>
      </c>
      <c r="C40" s="1001">
        <f>'Свод долгосрочный '!M85</f>
        <v>48176.003626989092</v>
      </c>
      <c r="D40" s="994"/>
      <c r="E40" s="994"/>
    </row>
    <row r="43" spans="1:12">
      <c r="A43" s="228"/>
      <c r="B43" s="229"/>
      <c r="C43" s="994"/>
      <c r="D43" s="994"/>
      <c r="E43" s="994"/>
      <c r="F43" s="994"/>
      <c r="G43" s="994"/>
      <c r="H43" s="994"/>
    </row>
    <row r="44" spans="1:12">
      <c r="A44" s="228"/>
      <c r="B44" s="229"/>
      <c r="C44" s="994"/>
      <c r="D44" s="994"/>
      <c r="E44" s="994"/>
      <c r="F44" s="994"/>
      <c r="G44" s="994"/>
      <c r="H44" s="994"/>
    </row>
    <row r="45" spans="1:12">
      <c r="A45" s="228"/>
      <c r="B45" s="229"/>
      <c r="C45" s="994"/>
      <c r="D45" s="994"/>
      <c r="E45" s="994"/>
      <c r="F45" s="994"/>
      <c r="G45" s="994"/>
      <c r="H45" s="994"/>
    </row>
    <row r="46" spans="1:12">
      <c r="A46" s="228"/>
      <c r="B46" s="229"/>
      <c r="C46" s="994"/>
      <c r="D46" s="994"/>
      <c r="E46" s="994"/>
      <c r="F46" s="994"/>
      <c r="G46" s="994"/>
      <c r="H46" s="994"/>
    </row>
    <row r="47" spans="1:12" s="1004" customFormat="1" ht="65.25" customHeight="1">
      <c r="A47" s="1003" t="s">
        <v>1217</v>
      </c>
      <c r="C47" s="991"/>
      <c r="D47" s="1005"/>
      <c r="F47" s="994"/>
      <c r="G47" s="994" t="s">
        <v>1516</v>
      </c>
      <c r="H47" s="994"/>
      <c r="I47" s="991"/>
      <c r="J47" s="991"/>
      <c r="L47" s="991"/>
    </row>
    <row r="50" spans="1:8">
      <c r="A50" s="1643" t="s">
        <v>120</v>
      </c>
      <c r="B50" s="1681"/>
      <c r="C50" s="994"/>
      <c r="D50" s="994"/>
      <c r="E50" s="994"/>
      <c r="F50" s="994"/>
      <c r="G50" s="994"/>
      <c r="H50" s="994"/>
    </row>
    <row r="67" spans="1:3" ht="30.75" customHeight="1">
      <c r="A67" s="995" t="s">
        <v>126</v>
      </c>
      <c r="B67" s="995"/>
      <c r="C67" s="995"/>
    </row>
  </sheetData>
  <mergeCells count="25">
    <mergeCell ref="A50:B50"/>
    <mergeCell ref="A34:A35"/>
    <mergeCell ref="B34:B35"/>
    <mergeCell ref="A13:A15"/>
    <mergeCell ref="A16:A20"/>
    <mergeCell ref="A27:A31"/>
    <mergeCell ref="A36:A40"/>
    <mergeCell ref="F26:I26"/>
    <mergeCell ref="F27:H27"/>
    <mergeCell ref="F28:H28"/>
    <mergeCell ref="F29:H29"/>
    <mergeCell ref="A2:J2"/>
    <mergeCell ref="F30:H30"/>
    <mergeCell ref="F31:H31"/>
    <mergeCell ref="C13:D13"/>
    <mergeCell ref="E13:E14"/>
    <mergeCell ref="A11:L11"/>
    <mergeCell ref="A10:L10"/>
    <mergeCell ref="K23:L23"/>
    <mergeCell ref="B13:B15"/>
    <mergeCell ref="B24:B25"/>
    <mergeCell ref="A24:A25"/>
    <mergeCell ref="F24:I24"/>
    <mergeCell ref="F25:I25"/>
    <mergeCell ref="A22:L22"/>
  </mergeCells>
  <pageMargins left="0.9055118110236221" right="0.70866141732283472" top="0.35433070866141736" bottom="0.35433070866141736" header="0" footer="0"/>
  <pageSetup paperSize="9"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>
    <tabColor rgb="FF00B050"/>
    <pageSetUpPr fitToPage="1"/>
  </sheetPr>
  <dimension ref="A1:G35"/>
  <sheetViews>
    <sheetView workbookViewId="0"/>
  </sheetViews>
  <sheetFormatPr defaultRowHeight="12.75"/>
  <cols>
    <col min="2" max="2" width="65.42578125" customWidth="1"/>
    <col min="3" max="7" width="15.7109375" customWidth="1"/>
  </cols>
  <sheetData>
    <row r="1" spans="1:7">
      <c r="G1">
        <v>2</v>
      </c>
    </row>
    <row r="2" spans="1:7">
      <c r="A2" s="1"/>
      <c r="B2" s="1"/>
      <c r="C2" s="1"/>
      <c r="D2" s="1"/>
      <c r="E2" s="1"/>
      <c r="F2" s="1"/>
      <c r="G2" s="1"/>
    </row>
    <row r="3" spans="1:7" ht="18.75">
      <c r="A3" s="1"/>
      <c r="B3" s="1659" t="s">
        <v>820</v>
      </c>
      <c r="C3" s="1659"/>
      <c r="D3" s="1659"/>
      <c r="E3" s="1659"/>
      <c r="F3" s="1659"/>
      <c r="G3" s="1659"/>
    </row>
    <row r="4" spans="1:7" ht="18.75">
      <c r="A4" s="1"/>
      <c r="B4" s="224"/>
      <c r="C4" s="224"/>
      <c r="D4" s="224"/>
      <c r="E4" s="224"/>
      <c r="F4" s="224"/>
      <c r="G4" s="224"/>
    </row>
    <row r="5" spans="1:7" ht="18.75">
      <c r="A5" s="239" t="s">
        <v>244</v>
      </c>
      <c r="B5" s="240" t="s">
        <v>245</v>
      </c>
      <c r="C5" s="1686" t="s">
        <v>464</v>
      </c>
      <c r="D5" s="1686"/>
      <c r="E5" s="1686"/>
      <c r="F5" s="1686"/>
      <c r="G5" s="1686"/>
    </row>
    <row r="6" spans="1:7" ht="21.75" customHeight="1">
      <c r="A6" s="241">
        <v>1</v>
      </c>
      <c r="B6" s="242" t="s">
        <v>465</v>
      </c>
      <c r="C6" s="1687"/>
      <c r="D6" s="1688"/>
      <c r="E6" s="1688"/>
      <c r="F6" s="1688"/>
      <c r="G6" s="1689"/>
    </row>
    <row r="7" spans="1:7" ht="72.75" customHeight="1">
      <c r="A7" s="241"/>
      <c r="B7" s="242" t="s">
        <v>466</v>
      </c>
      <c r="C7" s="1690" t="s">
        <v>1080</v>
      </c>
      <c r="D7" s="1690"/>
      <c r="E7" s="1690"/>
      <c r="F7" s="1690"/>
      <c r="G7" s="1690"/>
    </row>
    <row r="8" spans="1:7" ht="21.75" customHeight="1">
      <c r="A8" s="241"/>
      <c r="B8" s="242" t="s">
        <v>467</v>
      </c>
      <c r="C8" s="1684" t="s">
        <v>1081</v>
      </c>
      <c r="D8" s="1684"/>
      <c r="E8" s="1684"/>
      <c r="F8" s="1684"/>
      <c r="G8" s="1684"/>
    </row>
    <row r="9" spans="1:7" ht="21.75" customHeight="1">
      <c r="A9" s="241">
        <v>2</v>
      </c>
      <c r="B9" s="242" t="s">
        <v>468</v>
      </c>
      <c r="C9" s="1684" t="s">
        <v>1082</v>
      </c>
      <c r="D9" s="1684"/>
      <c r="E9" s="1684"/>
      <c r="F9" s="1684"/>
      <c r="G9" s="1684"/>
    </row>
    <row r="10" spans="1:7" ht="21.75" customHeight="1">
      <c r="A10" s="241">
        <v>3</v>
      </c>
      <c r="B10" s="242" t="s">
        <v>469</v>
      </c>
      <c r="C10" s="1684"/>
      <c r="D10" s="1684"/>
      <c r="E10" s="1684"/>
      <c r="F10" s="1684"/>
      <c r="G10" s="1684"/>
    </row>
    <row r="11" spans="1:7" ht="47.25" customHeight="1">
      <c r="A11" s="241"/>
      <c r="B11" s="242" t="s">
        <v>470</v>
      </c>
      <c r="C11" s="1685" t="s">
        <v>1083</v>
      </c>
      <c r="D11" s="1685"/>
      <c r="E11" s="1685"/>
      <c r="F11" s="1685"/>
      <c r="G11" s="1685"/>
    </row>
    <row r="12" spans="1:7" ht="45" customHeight="1">
      <c r="A12" s="241"/>
      <c r="B12" s="242" t="s">
        <v>471</v>
      </c>
      <c r="C12" s="1685" t="s">
        <v>1083</v>
      </c>
      <c r="D12" s="1685"/>
      <c r="E12" s="1685"/>
      <c r="F12" s="1685"/>
      <c r="G12" s="1685"/>
    </row>
    <row r="13" spans="1:7" ht="21.75" customHeight="1">
      <c r="A13" s="241">
        <v>4</v>
      </c>
      <c r="B13" s="242" t="s">
        <v>472</v>
      </c>
      <c r="C13" s="1684" t="s">
        <v>1084</v>
      </c>
      <c r="D13" s="1684"/>
      <c r="E13" s="1684"/>
      <c r="F13" s="1684"/>
      <c r="G13" s="1684"/>
    </row>
    <row r="14" spans="1:7" ht="21.75" customHeight="1">
      <c r="A14" s="241">
        <v>5</v>
      </c>
      <c r="B14" s="242" t="s">
        <v>473</v>
      </c>
      <c r="C14" s="1684" t="s">
        <v>1085</v>
      </c>
      <c r="D14" s="1684"/>
      <c r="E14" s="1684"/>
      <c r="F14" s="1684"/>
      <c r="G14" s="1684"/>
    </row>
    <row r="15" spans="1:7" ht="21.75" customHeight="1">
      <c r="A15" s="241">
        <v>6</v>
      </c>
      <c r="B15" s="236" t="s">
        <v>119</v>
      </c>
      <c r="C15" s="1684" t="s">
        <v>1086</v>
      </c>
      <c r="D15" s="1684"/>
      <c r="E15" s="1684"/>
      <c r="F15" s="1684"/>
      <c r="G15" s="1684"/>
    </row>
    <row r="16" spans="1:7" ht="21.75" customHeight="1">
      <c r="A16" s="241">
        <v>7</v>
      </c>
      <c r="B16" s="236" t="s">
        <v>920</v>
      </c>
      <c r="C16" s="1683">
        <v>42</v>
      </c>
      <c r="D16" s="1683"/>
      <c r="E16" s="1683"/>
      <c r="F16" s="1683"/>
      <c r="G16" s="1683"/>
    </row>
    <row r="17" spans="1:7" ht="21.75" customHeight="1">
      <c r="A17" s="241">
        <v>8</v>
      </c>
      <c r="B17" s="237" t="s">
        <v>118</v>
      </c>
      <c r="C17" s="1684"/>
      <c r="D17" s="1684"/>
      <c r="E17" s="1684"/>
      <c r="F17" s="1684"/>
      <c r="G17" s="1684"/>
    </row>
    <row r="18" spans="1:7" ht="39.75" customHeight="1">
      <c r="A18" s="241">
        <v>9</v>
      </c>
      <c r="B18" s="236" t="s">
        <v>241</v>
      </c>
      <c r="C18" s="1684" t="s">
        <v>1082</v>
      </c>
      <c r="D18" s="1684"/>
      <c r="E18" s="1684"/>
      <c r="F18" s="1684"/>
      <c r="G18" s="1684"/>
    </row>
    <row r="19" spans="1:7" ht="21.75" customHeight="1">
      <c r="A19" s="241">
        <v>10</v>
      </c>
      <c r="B19" s="242" t="s">
        <v>474</v>
      </c>
      <c r="C19" s="1684" t="s">
        <v>1368</v>
      </c>
      <c r="D19" s="1684"/>
      <c r="E19" s="1684"/>
      <c r="F19" s="1684"/>
      <c r="G19" s="1684"/>
    </row>
    <row r="20" spans="1:7" ht="21.75" customHeight="1">
      <c r="A20" s="241"/>
      <c r="B20" s="242" t="s">
        <v>475</v>
      </c>
      <c r="C20" s="1684" t="s">
        <v>1087</v>
      </c>
      <c r="D20" s="1684"/>
      <c r="E20" s="1684"/>
      <c r="F20" s="1684"/>
      <c r="G20" s="1684"/>
    </row>
    <row r="21" spans="1:7" ht="21.75" customHeight="1">
      <c r="A21" s="241"/>
      <c r="B21" s="242" t="s">
        <v>476</v>
      </c>
      <c r="C21" s="1684" t="s">
        <v>1088</v>
      </c>
      <c r="D21" s="1684"/>
      <c r="E21" s="1684"/>
      <c r="F21" s="1684"/>
      <c r="G21" s="1684"/>
    </row>
    <row r="22" spans="1:7" ht="21.75" customHeight="1">
      <c r="A22" s="241">
        <v>11</v>
      </c>
      <c r="B22" s="242" t="s">
        <v>477</v>
      </c>
      <c r="C22" s="1684" t="s">
        <v>1089</v>
      </c>
      <c r="D22" s="1684"/>
      <c r="E22" s="1684"/>
      <c r="F22" s="1684"/>
      <c r="G22" s="1684"/>
    </row>
    <row r="23" spans="1:7" ht="21.75" customHeight="1">
      <c r="A23" s="241"/>
      <c r="B23" s="242" t="s">
        <v>475</v>
      </c>
      <c r="C23" s="1684" t="s">
        <v>1087</v>
      </c>
      <c r="D23" s="1684"/>
      <c r="E23" s="1684"/>
      <c r="F23" s="1684"/>
      <c r="G23" s="1684"/>
    </row>
    <row r="24" spans="1:7" ht="21.75" customHeight="1">
      <c r="A24" s="241">
        <v>12</v>
      </c>
      <c r="B24" s="242" t="s">
        <v>478</v>
      </c>
      <c r="C24" s="1684" t="s">
        <v>1090</v>
      </c>
      <c r="D24" s="1684"/>
      <c r="E24" s="1684"/>
      <c r="F24" s="1684"/>
      <c r="G24" s="1684"/>
    </row>
    <row r="25" spans="1:7" ht="21.75" customHeight="1">
      <c r="A25" s="241"/>
      <c r="B25" s="242" t="s">
        <v>475</v>
      </c>
      <c r="C25" s="1684" t="s">
        <v>1087</v>
      </c>
      <c r="D25" s="1684"/>
      <c r="E25" s="1684"/>
      <c r="F25" s="1684"/>
      <c r="G25" s="1684"/>
    </row>
    <row r="26" spans="1:7" ht="21.75" customHeight="1">
      <c r="A26" s="241">
        <v>13</v>
      </c>
      <c r="B26" s="242" t="s">
        <v>479</v>
      </c>
      <c r="C26" s="1684" t="s">
        <v>1515</v>
      </c>
      <c r="D26" s="1684"/>
      <c r="E26" s="1684"/>
      <c r="F26" s="1684"/>
      <c r="G26" s="1684"/>
    </row>
    <row r="27" spans="1:7" ht="21.75" customHeight="1">
      <c r="A27" s="241"/>
      <c r="B27" s="242" t="s">
        <v>475</v>
      </c>
      <c r="C27" s="1684" t="s">
        <v>1091</v>
      </c>
      <c r="D27" s="1684"/>
      <c r="E27" s="1684"/>
      <c r="F27" s="1684"/>
      <c r="G27" s="1684"/>
    </row>
    <row r="28" spans="1:7" ht="21.75" customHeight="1">
      <c r="A28" s="241">
        <v>14</v>
      </c>
      <c r="B28" s="242" t="s">
        <v>480</v>
      </c>
      <c r="C28" s="1684" t="s">
        <v>1090</v>
      </c>
      <c r="D28" s="1684"/>
      <c r="E28" s="1684"/>
      <c r="F28" s="1684"/>
      <c r="G28" s="1684"/>
    </row>
    <row r="29" spans="1:7" ht="21.75" customHeight="1">
      <c r="A29" s="241"/>
      <c r="B29" s="242" t="s">
        <v>475</v>
      </c>
      <c r="C29" s="1684" t="s">
        <v>1087</v>
      </c>
      <c r="D29" s="1684"/>
      <c r="E29" s="1684"/>
      <c r="F29" s="1684"/>
      <c r="G29" s="1684"/>
    </row>
    <row r="30" spans="1:7" ht="21.75" customHeight="1">
      <c r="A30" s="241"/>
      <c r="B30" s="242" t="s">
        <v>476</v>
      </c>
      <c r="C30" s="1684" t="s">
        <v>1092</v>
      </c>
      <c r="D30" s="1684"/>
      <c r="E30" s="1684"/>
      <c r="F30" s="1684"/>
      <c r="G30" s="1684"/>
    </row>
    <row r="31" spans="1:7" ht="21.75" customHeight="1">
      <c r="A31" s="241">
        <v>15</v>
      </c>
      <c r="B31" s="242" t="s">
        <v>481</v>
      </c>
      <c r="C31" s="1684"/>
      <c r="D31" s="1684"/>
      <c r="E31" s="1684"/>
      <c r="F31" s="1684"/>
      <c r="G31" s="1684"/>
    </row>
    <row r="32" spans="1:7" ht="21.75" customHeight="1">
      <c r="A32" s="241"/>
      <c r="B32" s="242" t="s">
        <v>482</v>
      </c>
      <c r="C32" s="1684" t="s">
        <v>1093</v>
      </c>
      <c r="D32" s="1684"/>
      <c r="E32" s="1684"/>
      <c r="F32" s="1684"/>
      <c r="G32" s="1684"/>
    </row>
    <row r="33" spans="1:7" ht="21.75" customHeight="1">
      <c r="A33" s="241"/>
      <c r="B33" s="242" t="s">
        <v>483</v>
      </c>
      <c r="C33" s="1684" t="s">
        <v>1094</v>
      </c>
      <c r="D33" s="1684"/>
      <c r="E33" s="1684"/>
      <c r="F33" s="1684"/>
      <c r="G33" s="1684"/>
    </row>
    <row r="34" spans="1:7" ht="23.25" customHeight="1">
      <c r="A34" s="241"/>
      <c r="B34" s="242" t="s">
        <v>484</v>
      </c>
      <c r="C34" s="1684" t="s">
        <v>1095</v>
      </c>
      <c r="D34" s="1684"/>
      <c r="E34" s="1684"/>
      <c r="F34" s="1684"/>
      <c r="G34" s="1684"/>
    </row>
    <row r="35" spans="1:7" ht="21.75" customHeight="1">
      <c r="A35" s="241"/>
      <c r="B35" s="242" t="s">
        <v>485</v>
      </c>
      <c r="C35" s="1684" t="s">
        <v>1096</v>
      </c>
      <c r="D35" s="1684"/>
      <c r="E35" s="1684"/>
      <c r="F35" s="1684"/>
      <c r="G35" s="1684"/>
    </row>
  </sheetData>
  <protectedRanges>
    <protectedRange sqref="G6" name="Диапазон1_1"/>
    <protectedRange sqref="G7:G35" name="Диапазон1_1_2"/>
  </protectedRanges>
  <mergeCells count="32">
    <mergeCell ref="B3:G3"/>
    <mergeCell ref="C5:G5"/>
    <mergeCell ref="C6:G6"/>
    <mergeCell ref="C7:G7"/>
    <mergeCell ref="C8:G8"/>
    <mergeCell ref="C9:G9"/>
    <mergeCell ref="C27:G27"/>
    <mergeCell ref="C12:G12"/>
    <mergeCell ref="C22:G22"/>
    <mergeCell ref="C23:G23"/>
    <mergeCell ref="C21:G21"/>
    <mergeCell ref="C10:G10"/>
    <mergeCell ref="C20:G20"/>
    <mergeCell ref="C24:G24"/>
    <mergeCell ref="C11:G11"/>
    <mergeCell ref="C15:G15"/>
    <mergeCell ref="C17:G17"/>
    <mergeCell ref="C18:G18"/>
    <mergeCell ref="C26:G26"/>
    <mergeCell ref="C13:G13"/>
    <mergeCell ref="C14:G14"/>
    <mergeCell ref="C16:G16"/>
    <mergeCell ref="C19:G19"/>
    <mergeCell ref="C35:G35"/>
    <mergeCell ref="C29:G29"/>
    <mergeCell ref="C30:G30"/>
    <mergeCell ref="C31:G31"/>
    <mergeCell ref="C25:G25"/>
    <mergeCell ref="C28:G28"/>
    <mergeCell ref="C33:G33"/>
    <mergeCell ref="C34:G34"/>
    <mergeCell ref="C32:G32"/>
  </mergeCells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5">
    <tabColor indexed="26"/>
    <pageSetUpPr fitToPage="1"/>
  </sheetPr>
  <dimension ref="A1:AB56"/>
  <sheetViews>
    <sheetView topLeftCell="A3" workbookViewId="0">
      <selection activeCell="J49" sqref="J49"/>
    </sheetView>
  </sheetViews>
  <sheetFormatPr defaultColWidth="8" defaultRowHeight="12.75"/>
  <cols>
    <col min="1" max="1" width="8" style="26" customWidth="1"/>
    <col min="2" max="2" width="12.140625" style="26" customWidth="1"/>
    <col min="3" max="4" width="10.85546875" style="26" customWidth="1"/>
    <col min="5" max="5" width="11.85546875" style="26" customWidth="1"/>
    <col min="6" max="6" width="9.85546875" style="26" customWidth="1"/>
    <col min="7" max="7" width="10.7109375" style="26" customWidth="1"/>
    <col min="8" max="8" width="11.7109375" style="26" customWidth="1"/>
    <col min="9" max="9" width="10.85546875" style="26" customWidth="1"/>
    <col min="10" max="10" width="10" style="26" customWidth="1"/>
    <col min="11" max="11" width="12.140625" style="26" customWidth="1"/>
    <col min="12" max="12" width="10.28515625" style="26" customWidth="1"/>
    <col min="13" max="16" width="9.5703125" style="26" customWidth="1"/>
    <col min="17" max="17" width="10.7109375" style="26" customWidth="1"/>
    <col min="18" max="19" width="9.7109375" style="26" customWidth="1"/>
    <col min="20" max="20" width="8" style="26" customWidth="1"/>
    <col min="21" max="21" width="8" style="26"/>
    <col min="22" max="23" width="8" style="26" customWidth="1"/>
    <col min="24" max="24" width="8" style="26"/>
    <col min="25" max="26" width="8" style="26" customWidth="1"/>
    <col min="27" max="27" width="8" style="26"/>
    <col min="28" max="28" width="8" style="26" customWidth="1"/>
    <col min="29" max="16384" width="8" style="26"/>
  </cols>
  <sheetData>
    <row r="1" spans="1:28" hidden="1">
      <c r="A1" s="110"/>
      <c r="G1" s="28" t="s">
        <v>386</v>
      </c>
      <c r="AB1" s="26">
        <v>3</v>
      </c>
    </row>
    <row r="2" spans="1:28" hidden="1"/>
    <row r="3" spans="1:28" ht="24.95" customHeight="1">
      <c r="A3" s="1715" t="s">
        <v>343</v>
      </c>
      <c r="B3" s="1715"/>
      <c r="C3" s="1715"/>
      <c r="D3" s="1715"/>
      <c r="E3" s="1715"/>
      <c r="F3" s="1715"/>
      <c r="G3" s="1715"/>
      <c r="AB3" s="26">
        <v>3</v>
      </c>
    </row>
    <row r="4" spans="1:28" hidden="1">
      <c r="A4" s="29"/>
      <c r="B4" s="29"/>
      <c r="C4" s="29"/>
      <c r="D4" s="29"/>
      <c r="E4" s="29"/>
      <c r="F4" s="29"/>
      <c r="G4" s="29"/>
    </row>
    <row r="5" spans="1:28" ht="38.1" customHeight="1">
      <c r="A5" s="1720" t="s">
        <v>344</v>
      </c>
      <c r="B5" s="1720"/>
      <c r="C5" s="1720"/>
      <c r="D5" s="1720"/>
      <c r="E5" s="1720"/>
      <c r="F5" s="1720"/>
      <c r="G5" s="1720"/>
    </row>
    <row r="6" spans="1:28" ht="19.5" thickBot="1">
      <c r="F6" s="262" t="s">
        <v>921</v>
      </c>
      <c r="G6" s="262"/>
      <c r="H6" s="262"/>
      <c r="I6" s="262" t="s">
        <v>922</v>
      </c>
      <c r="J6" s="262"/>
      <c r="K6" s="262"/>
      <c r="L6" s="262" t="s">
        <v>1229</v>
      </c>
      <c r="M6" s="262"/>
      <c r="N6" s="262"/>
      <c r="O6" s="262" t="s">
        <v>926</v>
      </c>
      <c r="P6" s="262"/>
      <c r="Q6" s="262"/>
      <c r="R6" s="262">
        <v>2021</v>
      </c>
      <c r="S6" s="262"/>
      <c r="T6" s="262"/>
      <c r="U6" s="262">
        <v>2022</v>
      </c>
      <c r="V6" s="262"/>
      <c r="X6" s="262">
        <v>2023</v>
      </c>
      <c r="Y6" s="262"/>
      <c r="Z6" s="262"/>
      <c r="AA6" s="262">
        <v>2024</v>
      </c>
    </row>
    <row r="7" spans="1:28" ht="102">
      <c r="A7" s="1716"/>
      <c r="B7" s="1719" t="s">
        <v>345</v>
      </c>
      <c r="C7" s="1719" t="s">
        <v>346</v>
      </c>
      <c r="D7" s="1719" t="s">
        <v>327</v>
      </c>
      <c r="E7" s="52" t="s">
        <v>347</v>
      </c>
      <c r="F7" s="70" t="s">
        <v>390</v>
      </c>
      <c r="G7" s="53" t="s">
        <v>348</v>
      </c>
      <c r="H7" s="52" t="s">
        <v>347</v>
      </c>
      <c r="I7" s="70" t="s">
        <v>390</v>
      </c>
      <c r="J7" s="53" t="s">
        <v>348</v>
      </c>
      <c r="K7" s="52" t="s">
        <v>347</v>
      </c>
      <c r="L7" s="70" t="s">
        <v>390</v>
      </c>
      <c r="M7" s="53" t="s">
        <v>348</v>
      </c>
      <c r="N7" s="1038" t="s">
        <v>347</v>
      </c>
      <c r="O7" s="70" t="s">
        <v>390</v>
      </c>
      <c r="P7" s="53" t="s">
        <v>348</v>
      </c>
      <c r="Q7" s="52" t="s">
        <v>347</v>
      </c>
      <c r="R7" s="70" t="s">
        <v>390</v>
      </c>
      <c r="S7" s="53" t="s">
        <v>348</v>
      </c>
      <c r="T7" s="52" t="s">
        <v>347</v>
      </c>
      <c r="U7" s="70" t="s">
        <v>390</v>
      </c>
      <c r="V7" s="53" t="s">
        <v>348</v>
      </c>
      <c r="W7" s="52" t="s">
        <v>347</v>
      </c>
      <c r="X7" s="70" t="s">
        <v>390</v>
      </c>
      <c r="Y7" s="53" t="s">
        <v>348</v>
      </c>
      <c r="Z7" s="52" t="s">
        <v>347</v>
      </c>
      <c r="AA7" s="70" t="s">
        <v>390</v>
      </c>
      <c r="AB7" s="53" t="s">
        <v>348</v>
      </c>
    </row>
    <row r="8" spans="1:28" ht="25.5">
      <c r="A8" s="1717"/>
      <c r="B8" s="1708"/>
      <c r="C8" s="1708"/>
      <c r="D8" s="1708"/>
      <c r="E8" s="71" t="s">
        <v>391</v>
      </c>
      <c r="F8" s="31" t="s">
        <v>349</v>
      </c>
      <c r="G8" s="72" t="s">
        <v>392</v>
      </c>
      <c r="H8" s="71" t="s">
        <v>391</v>
      </c>
      <c r="I8" s="31" t="s">
        <v>349</v>
      </c>
      <c r="J8" s="72" t="s">
        <v>392</v>
      </c>
      <c r="K8" s="71" t="s">
        <v>391</v>
      </c>
      <c r="L8" s="31" t="s">
        <v>349</v>
      </c>
      <c r="M8" s="72" t="s">
        <v>392</v>
      </c>
      <c r="N8" s="71" t="s">
        <v>391</v>
      </c>
      <c r="O8" s="1036" t="s">
        <v>349</v>
      </c>
      <c r="P8" s="72" t="s">
        <v>392</v>
      </c>
      <c r="Q8" s="71" t="s">
        <v>391</v>
      </c>
      <c r="R8" s="31" t="s">
        <v>349</v>
      </c>
      <c r="S8" s="72" t="s">
        <v>392</v>
      </c>
      <c r="T8" s="71" t="s">
        <v>391</v>
      </c>
      <c r="U8" s="31" t="s">
        <v>349</v>
      </c>
      <c r="V8" s="72" t="s">
        <v>392</v>
      </c>
      <c r="W8" s="71" t="s">
        <v>391</v>
      </c>
      <c r="X8" s="31" t="s">
        <v>349</v>
      </c>
      <c r="Y8" s="72" t="s">
        <v>392</v>
      </c>
      <c r="Z8" s="71" t="s">
        <v>391</v>
      </c>
      <c r="AA8" s="31" t="s">
        <v>349</v>
      </c>
      <c r="AB8" s="72" t="s">
        <v>392</v>
      </c>
    </row>
    <row r="9" spans="1:28" ht="23.25" thickBot="1">
      <c r="A9" s="62">
        <v>1</v>
      </c>
      <c r="B9" s="63">
        <f>+A9+1</f>
        <v>2</v>
      </c>
      <c r="C9" s="63">
        <f>+B9+1</f>
        <v>3</v>
      </c>
      <c r="D9" s="63">
        <f>+C9+1</f>
        <v>4</v>
      </c>
      <c r="E9" s="63">
        <f>+D9+1</f>
        <v>5</v>
      </c>
      <c r="F9" s="63">
        <f>+E9+1</f>
        <v>6</v>
      </c>
      <c r="G9" s="64" t="s">
        <v>351</v>
      </c>
      <c r="H9" s="63">
        <v>5</v>
      </c>
      <c r="I9" s="63">
        <v>6</v>
      </c>
      <c r="J9" s="64" t="s">
        <v>351</v>
      </c>
      <c r="K9" s="63">
        <v>5</v>
      </c>
      <c r="L9" s="63">
        <v>6</v>
      </c>
      <c r="M9" s="64" t="s">
        <v>351</v>
      </c>
      <c r="N9" s="63">
        <v>5</v>
      </c>
      <c r="O9" s="63">
        <v>6</v>
      </c>
      <c r="P9" s="64" t="s">
        <v>351</v>
      </c>
      <c r="Q9" s="63">
        <v>5</v>
      </c>
      <c r="R9" s="63">
        <v>6</v>
      </c>
      <c r="S9" s="64" t="s">
        <v>351</v>
      </c>
      <c r="T9" s="63">
        <v>5</v>
      </c>
      <c r="U9" s="63">
        <v>6</v>
      </c>
      <c r="V9" s="64" t="s">
        <v>351</v>
      </c>
      <c r="W9" s="63">
        <v>5</v>
      </c>
      <c r="X9" s="63">
        <v>6</v>
      </c>
      <c r="Y9" s="64" t="s">
        <v>351</v>
      </c>
      <c r="Z9" s="63">
        <v>5</v>
      </c>
      <c r="AA9" s="63">
        <v>6</v>
      </c>
      <c r="AB9" s="64" t="s">
        <v>351</v>
      </c>
    </row>
    <row r="10" spans="1:28">
      <c r="A10" s="1722" t="s">
        <v>328</v>
      </c>
      <c r="B10" s="74">
        <v>1150</v>
      </c>
      <c r="C10" s="66" t="s">
        <v>352</v>
      </c>
      <c r="D10" s="52" t="s">
        <v>353</v>
      </c>
      <c r="E10" s="66">
        <v>800</v>
      </c>
      <c r="F10" s="160"/>
      <c r="G10" s="67">
        <f>E10*F10/100</f>
        <v>0</v>
      </c>
      <c r="H10" s="66">
        <v>800</v>
      </c>
      <c r="I10" s="160"/>
      <c r="J10" s="67">
        <f>H10*I10/100</f>
        <v>0</v>
      </c>
      <c r="K10" s="66">
        <v>800</v>
      </c>
      <c r="L10" s="160"/>
      <c r="M10" s="67">
        <f>K10*L10/100</f>
        <v>0</v>
      </c>
      <c r="N10" s="66">
        <v>800</v>
      </c>
      <c r="O10" s="160"/>
      <c r="P10" s="67">
        <f>N10*O10/100</f>
        <v>0</v>
      </c>
      <c r="Q10" s="66">
        <v>800</v>
      </c>
      <c r="R10" s="160"/>
      <c r="S10" s="67">
        <f>Q10*R10/100</f>
        <v>0</v>
      </c>
      <c r="T10" s="66">
        <v>800</v>
      </c>
      <c r="U10" s="160"/>
      <c r="V10" s="67">
        <f>T10*U10/100</f>
        <v>0</v>
      </c>
      <c r="W10" s="66">
        <v>800</v>
      </c>
      <c r="X10" s="160"/>
      <c r="Y10" s="67">
        <f>W10*X10/100</f>
        <v>0</v>
      </c>
      <c r="Z10" s="66">
        <v>800</v>
      </c>
      <c r="AA10" s="160"/>
      <c r="AB10" s="67">
        <f>Z10*AA10/100</f>
        <v>0</v>
      </c>
    </row>
    <row r="11" spans="1:28">
      <c r="A11" s="1701"/>
      <c r="B11" s="73">
        <v>750</v>
      </c>
      <c r="C11" s="33">
        <v>1</v>
      </c>
      <c r="D11" s="31" t="s">
        <v>353</v>
      </c>
      <c r="E11" s="33">
        <v>600</v>
      </c>
      <c r="F11" s="161"/>
      <c r="G11" s="54">
        <f t="shared" ref="G11:G29" si="0">E11*F11/100</f>
        <v>0</v>
      </c>
      <c r="H11" s="33">
        <v>600</v>
      </c>
      <c r="I11" s="161"/>
      <c r="J11" s="54">
        <f t="shared" ref="J11:J29" si="1">H11*I11/100</f>
        <v>0</v>
      </c>
      <c r="K11" s="33">
        <v>600</v>
      </c>
      <c r="L11" s="161"/>
      <c r="M11" s="54">
        <f t="shared" ref="M11:M29" si="2">K11*L11/100</f>
        <v>0</v>
      </c>
      <c r="N11" s="1034">
        <v>600</v>
      </c>
      <c r="O11" s="161"/>
      <c r="P11" s="54">
        <f t="shared" ref="P11:P29" si="3">N11*O11/100</f>
        <v>0</v>
      </c>
      <c r="Q11" s="33">
        <v>600</v>
      </c>
      <c r="R11" s="161"/>
      <c r="S11" s="54">
        <f t="shared" ref="S11:S29" si="4">Q11*R11/100</f>
        <v>0</v>
      </c>
      <c r="T11" s="33">
        <v>600</v>
      </c>
      <c r="U11" s="161"/>
      <c r="V11" s="54">
        <f t="shared" ref="V11:V29" si="5">T11*U11/100</f>
        <v>0</v>
      </c>
      <c r="W11" s="33">
        <v>600</v>
      </c>
      <c r="X11" s="161"/>
      <c r="Y11" s="54">
        <f t="shared" ref="Y11:Y29" si="6">W11*X11/100</f>
        <v>0</v>
      </c>
      <c r="Z11" s="33">
        <v>600</v>
      </c>
      <c r="AA11" s="161"/>
      <c r="AB11" s="54">
        <f t="shared" ref="AB11:AB29" si="7">Z11*AA11/100</f>
        <v>0</v>
      </c>
    </row>
    <row r="12" spans="1:28">
      <c r="A12" s="1701"/>
      <c r="B12" s="1721" t="s">
        <v>354</v>
      </c>
      <c r="C12" s="1700">
        <v>1</v>
      </c>
      <c r="D12" s="31" t="s">
        <v>353</v>
      </c>
      <c r="E12" s="33">
        <v>400</v>
      </c>
      <c r="F12" s="161"/>
      <c r="G12" s="54">
        <f t="shared" si="0"/>
        <v>0</v>
      </c>
      <c r="H12" s="33">
        <v>400</v>
      </c>
      <c r="I12" s="161"/>
      <c r="J12" s="54">
        <f t="shared" si="1"/>
        <v>0</v>
      </c>
      <c r="K12" s="33">
        <v>400</v>
      </c>
      <c r="L12" s="161"/>
      <c r="M12" s="54">
        <f t="shared" si="2"/>
        <v>0</v>
      </c>
      <c r="N12" s="1034">
        <v>400</v>
      </c>
      <c r="O12" s="161"/>
      <c r="P12" s="54">
        <f t="shared" si="3"/>
        <v>0</v>
      </c>
      <c r="Q12" s="33">
        <v>400</v>
      </c>
      <c r="R12" s="161"/>
      <c r="S12" s="54">
        <f t="shared" si="4"/>
        <v>0</v>
      </c>
      <c r="T12" s="33">
        <v>400</v>
      </c>
      <c r="U12" s="161"/>
      <c r="V12" s="54">
        <f t="shared" si="5"/>
        <v>0</v>
      </c>
      <c r="W12" s="33">
        <v>400</v>
      </c>
      <c r="X12" s="161"/>
      <c r="Y12" s="54">
        <f t="shared" si="6"/>
        <v>0</v>
      </c>
      <c r="Z12" s="33">
        <v>400</v>
      </c>
      <c r="AA12" s="161"/>
      <c r="AB12" s="54">
        <f t="shared" si="7"/>
        <v>0</v>
      </c>
    </row>
    <row r="13" spans="1:28">
      <c r="A13" s="1701"/>
      <c r="B13" s="1721"/>
      <c r="C13" s="1700"/>
      <c r="D13" s="31" t="s">
        <v>355</v>
      </c>
      <c r="E13" s="33">
        <v>300</v>
      </c>
      <c r="F13" s="161"/>
      <c r="G13" s="54">
        <f t="shared" si="0"/>
        <v>0</v>
      </c>
      <c r="H13" s="33">
        <v>300</v>
      </c>
      <c r="I13" s="161"/>
      <c r="J13" s="54">
        <f t="shared" si="1"/>
        <v>0</v>
      </c>
      <c r="K13" s="33">
        <v>300</v>
      </c>
      <c r="L13" s="161"/>
      <c r="M13" s="54">
        <f t="shared" si="2"/>
        <v>0</v>
      </c>
      <c r="N13" s="1034">
        <v>300</v>
      </c>
      <c r="O13" s="161"/>
      <c r="P13" s="54">
        <f t="shared" si="3"/>
        <v>0</v>
      </c>
      <c r="Q13" s="33">
        <v>300</v>
      </c>
      <c r="R13" s="161"/>
      <c r="S13" s="54">
        <f t="shared" si="4"/>
        <v>0</v>
      </c>
      <c r="T13" s="33">
        <v>300</v>
      </c>
      <c r="U13" s="161"/>
      <c r="V13" s="54">
        <f t="shared" si="5"/>
        <v>0</v>
      </c>
      <c r="W13" s="33">
        <v>300</v>
      </c>
      <c r="X13" s="161"/>
      <c r="Y13" s="54">
        <f t="shared" si="6"/>
        <v>0</v>
      </c>
      <c r="Z13" s="33">
        <v>300</v>
      </c>
      <c r="AA13" s="161"/>
      <c r="AB13" s="54">
        <f t="shared" si="7"/>
        <v>0</v>
      </c>
    </row>
    <row r="14" spans="1:28">
      <c r="A14" s="1701"/>
      <c r="B14" s="1721">
        <v>330</v>
      </c>
      <c r="C14" s="1700">
        <v>1</v>
      </c>
      <c r="D14" s="31" t="s">
        <v>353</v>
      </c>
      <c r="E14" s="33">
        <v>230</v>
      </c>
      <c r="F14" s="161"/>
      <c r="G14" s="54">
        <f t="shared" si="0"/>
        <v>0</v>
      </c>
      <c r="H14" s="33">
        <v>230</v>
      </c>
      <c r="I14" s="161"/>
      <c r="J14" s="54">
        <f t="shared" si="1"/>
        <v>0</v>
      </c>
      <c r="K14" s="33">
        <v>230</v>
      </c>
      <c r="L14" s="161"/>
      <c r="M14" s="54">
        <f t="shared" si="2"/>
        <v>0</v>
      </c>
      <c r="N14" s="1034">
        <v>230</v>
      </c>
      <c r="O14" s="161"/>
      <c r="P14" s="54">
        <f t="shared" si="3"/>
        <v>0</v>
      </c>
      <c r="Q14" s="33">
        <v>230</v>
      </c>
      <c r="R14" s="161"/>
      <c r="S14" s="54">
        <f t="shared" si="4"/>
        <v>0</v>
      </c>
      <c r="T14" s="33">
        <v>230</v>
      </c>
      <c r="U14" s="161"/>
      <c r="V14" s="54">
        <f t="shared" si="5"/>
        <v>0</v>
      </c>
      <c r="W14" s="33">
        <v>230</v>
      </c>
      <c r="X14" s="161"/>
      <c r="Y14" s="54">
        <f t="shared" si="6"/>
        <v>0</v>
      </c>
      <c r="Z14" s="33">
        <v>230</v>
      </c>
      <c r="AA14" s="161"/>
      <c r="AB14" s="54">
        <f t="shared" si="7"/>
        <v>0</v>
      </c>
    </row>
    <row r="15" spans="1:28">
      <c r="A15" s="1701"/>
      <c r="B15" s="1721"/>
      <c r="C15" s="1700"/>
      <c r="D15" s="31" t="s">
        <v>355</v>
      </c>
      <c r="E15" s="33">
        <v>170</v>
      </c>
      <c r="F15" s="161"/>
      <c r="G15" s="54">
        <f t="shared" si="0"/>
        <v>0</v>
      </c>
      <c r="H15" s="33">
        <v>170</v>
      </c>
      <c r="I15" s="161"/>
      <c r="J15" s="54">
        <f t="shared" si="1"/>
        <v>0</v>
      </c>
      <c r="K15" s="33">
        <v>170</v>
      </c>
      <c r="L15" s="161"/>
      <c r="M15" s="54">
        <f t="shared" si="2"/>
        <v>0</v>
      </c>
      <c r="N15" s="1034">
        <v>170</v>
      </c>
      <c r="O15" s="161"/>
      <c r="P15" s="54">
        <f t="shared" si="3"/>
        <v>0</v>
      </c>
      <c r="Q15" s="33">
        <v>170</v>
      </c>
      <c r="R15" s="161"/>
      <c r="S15" s="54">
        <f t="shared" si="4"/>
        <v>0</v>
      </c>
      <c r="T15" s="33">
        <v>170</v>
      </c>
      <c r="U15" s="161"/>
      <c r="V15" s="54">
        <f t="shared" si="5"/>
        <v>0</v>
      </c>
      <c r="W15" s="33">
        <v>170</v>
      </c>
      <c r="X15" s="161"/>
      <c r="Y15" s="54">
        <f t="shared" si="6"/>
        <v>0</v>
      </c>
      <c r="Z15" s="33">
        <v>170</v>
      </c>
      <c r="AA15" s="161"/>
      <c r="AB15" s="54">
        <f t="shared" si="7"/>
        <v>0</v>
      </c>
    </row>
    <row r="16" spans="1:28">
      <c r="A16" s="1701"/>
      <c r="B16" s="1721"/>
      <c r="C16" s="1700">
        <v>2</v>
      </c>
      <c r="D16" s="31" t="s">
        <v>353</v>
      </c>
      <c r="E16" s="33">
        <v>290</v>
      </c>
      <c r="F16" s="161"/>
      <c r="G16" s="54">
        <f t="shared" si="0"/>
        <v>0</v>
      </c>
      <c r="H16" s="33">
        <v>290</v>
      </c>
      <c r="I16" s="161"/>
      <c r="J16" s="54">
        <f t="shared" si="1"/>
        <v>0</v>
      </c>
      <c r="K16" s="33">
        <v>290</v>
      </c>
      <c r="L16" s="161"/>
      <c r="M16" s="54">
        <f t="shared" si="2"/>
        <v>0</v>
      </c>
      <c r="N16" s="1034">
        <v>290</v>
      </c>
      <c r="O16" s="161"/>
      <c r="P16" s="54">
        <f t="shared" si="3"/>
        <v>0</v>
      </c>
      <c r="Q16" s="33">
        <v>290</v>
      </c>
      <c r="R16" s="161"/>
      <c r="S16" s="54">
        <f t="shared" si="4"/>
        <v>0</v>
      </c>
      <c r="T16" s="33">
        <v>290</v>
      </c>
      <c r="U16" s="161"/>
      <c r="V16" s="54">
        <f t="shared" si="5"/>
        <v>0</v>
      </c>
      <c r="W16" s="33">
        <v>290</v>
      </c>
      <c r="X16" s="161"/>
      <c r="Y16" s="54">
        <f t="shared" si="6"/>
        <v>0</v>
      </c>
      <c r="Z16" s="33">
        <v>290</v>
      </c>
      <c r="AA16" s="161"/>
      <c r="AB16" s="54">
        <f t="shared" si="7"/>
        <v>0</v>
      </c>
    </row>
    <row r="17" spans="1:28">
      <c r="A17" s="1701"/>
      <c r="B17" s="1721"/>
      <c r="C17" s="1700"/>
      <c r="D17" s="31" t="s">
        <v>355</v>
      </c>
      <c r="E17" s="33">
        <v>210</v>
      </c>
      <c r="F17" s="161"/>
      <c r="G17" s="54">
        <f t="shared" si="0"/>
        <v>0</v>
      </c>
      <c r="H17" s="33">
        <v>210</v>
      </c>
      <c r="I17" s="161"/>
      <c r="J17" s="54">
        <f t="shared" si="1"/>
        <v>0</v>
      </c>
      <c r="K17" s="33">
        <v>210</v>
      </c>
      <c r="L17" s="161"/>
      <c r="M17" s="54">
        <f t="shared" si="2"/>
        <v>0</v>
      </c>
      <c r="N17" s="1034">
        <v>210</v>
      </c>
      <c r="O17" s="161"/>
      <c r="P17" s="54">
        <f t="shared" si="3"/>
        <v>0</v>
      </c>
      <c r="Q17" s="33">
        <v>210</v>
      </c>
      <c r="R17" s="161"/>
      <c r="S17" s="54">
        <f t="shared" si="4"/>
        <v>0</v>
      </c>
      <c r="T17" s="33">
        <v>210</v>
      </c>
      <c r="U17" s="161"/>
      <c r="V17" s="54">
        <f t="shared" si="5"/>
        <v>0</v>
      </c>
      <c r="W17" s="33">
        <v>210</v>
      </c>
      <c r="X17" s="161"/>
      <c r="Y17" s="54">
        <f t="shared" si="6"/>
        <v>0</v>
      </c>
      <c r="Z17" s="33">
        <v>210</v>
      </c>
      <c r="AA17" s="161"/>
      <c r="AB17" s="54">
        <f t="shared" si="7"/>
        <v>0</v>
      </c>
    </row>
    <row r="18" spans="1:28">
      <c r="A18" s="1701"/>
      <c r="B18" s="1718">
        <v>220</v>
      </c>
      <c r="C18" s="1691">
        <v>1</v>
      </c>
      <c r="D18" s="31" t="s">
        <v>329</v>
      </c>
      <c r="E18" s="36">
        <v>260</v>
      </c>
      <c r="F18" s="162"/>
      <c r="G18" s="54">
        <f t="shared" si="0"/>
        <v>0</v>
      </c>
      <c r="H18" s="36">
        <v>260</v>
      </c>
      <c r="I18" s="162"/>
      <c r="J18" s="54">
        <f t="shared" si="1"/>
        <v>0</v>
      </c>
      <c r="K18" s="36">
        <v>260</v>
      </c>
      <c r="L18" s="162"/>
      <c r="M18" s="54">
        <f t="shared" si="2"/>
        <v>0</v>
      </c>
      <c r="N18" s="36">
        <v>260</v>
      </c>
      <c r="O18" s="162"/>
      <c r="P18" s="54">
        <f t="shared" si="3"/>
        <v>0</v>
      </c>
      <c r="Q18" s="36">
        <v>260</v>
      </c>
      <c r="R18" s="162"/>
      <c r="S18" s="54">
        <f t="shared" si="4"/>
        <v>0</v>
      </c>
      <c r="T18" s="36">
        <v>260</v>
      </c>
      <c r="U18" s="162"/>
      <c r="V18" s="54">
        <f t="shared" si="5"/>
        <v>0</v>
      </c>
      <c r="W18" s="36">
        <v>260</v>
      </c>
      <c r="X18" s="162"/>
      <c r="Y18" s="54">
        <f t="shared" si="6"/>
        <v>0</v>
      </c>
      <c r="Z18" s="36">
        <v>260</v>
      </c>
      <c r="AA18" s="162"/>
      <c r="AB18" s="54">
        <f t="shared" si="7"/>
        <v>0</v>
      </c>
    </row>
    <row r="19" spans="1:28">
      <c r="A19" s="1701"/>
      <c r="B19" s="1718"/>
      <c r="C19" s="1691"/>
      <c r="D19" s="31" t="s">
        <v>353</v>
      </c>
      <c r="E19" s="36">
        <v>210</v>
      </c>
      <c r="F19" s="163"/>
      <c r="G19" s="54">
        <f t="shared" si="0"/>
        <v>0</v>
      </c>
      <c r="H19" s="36">
        <v>210</v>
      </c>
      <c r="I19" s="163"/>
      <c r="J19" s="54">
        <f t="shared" si="1"/>
        <v>0</v>
      </c>
      <c r="K19" s="36">
        <v>210</v>
      </c>
      <c r="L19" s="163"/>
      <c r="M19" s="54">
        <f t="shared" si="2"/>
        <v>0</v>
      </c>
      <c r="N19" s="36">
        <v>210</v>
      </c>
      <c r="O19" s="163"/>
      <c r="P19" s="54">
        <f t="shared" si="3"/>
        <v>0</v>
      </c>
      <c r="Q19" s="36">
        <v>210</v>
      </c>
      <c r="R19" s="163"/>
      <c r="S19" s="54">
        <f t="shared" si="4"/>
        <v>0</v>
      </c>
      <c r="T19" s="36">
        <v>210</v>
      </c>
      <c r="U19" s="163"/>
      <c r="V19" s="54">
        <f t="shared" si="5"/>
        <v>0</v>
      </c>
      <c r="W19" s="36">
        <v>210</v>
      </c>
      <c r="X19" s="163"/>
      <c r="Y19" s="54">
        <f t="shared" si="6"/>
        <v>0</v>
      </c>
      <c r="Z19" s="36">
        <v>210</v>
      </c>
      <c r="AA19" s="163"/>
      <c r="AB19" s="54">
        <f t="shared" si="7"/>
        <v>0</v>
      </c>
    </row>
    <row r="20" spans="1:28">
      <c r="A20" s="1701"/>
      <c r="B20" s="1718"/>
      <c r="C20" s="1691"/>
      <c r="D20" s="31" t="s">
        <v>355</v>
      </c>
      <c r="E20" s="36">
        <v>140</v>
      </c>
      <c r="F20" s="163"/>
      <c r="G20" s="54">
        <f t="shared" si="0"/>
        <v>0</v>
      </c>
      <c r="H20" s="36">
        <v>140</v>
      </c>
      <c r="I20" s="163"/>
      <c r="J20" s="54">
        <f t="shared" si="1"/>
        <v>0</v>
      </c>
      <c r="K20" s="36">
        <v>140</v>
      </c>
      <c r="L20" s="163"/>
      <c r="M20" s="54">
        <f t="shared" si="2"/>
        <v>0</v>
      </c>
      <c r="N20" s="36">
        <v>140</v>
      </c>
      <c r="O20" s="163"/>
      <c r="P20" s="54">
        <f t="shared" si="3"/>
        <v>0</v>
      </c>
      <c r="Q20" s="36">
        <v>140</v>
      </c>
      <c r="R20" s="163"/>
      <c r="S20" s="54">
        <f t="shared" si="4"/>
        <v>0</v>
      </c>
      <c r="T20" s="36">
        <v>140</v>
      </c>
      <c r="U20" s="163"/>
      <c r="V20" s="54">
        <f t="shared" si="5"/>
        <v>0</v>
      </c>
      <c r="W20" s="36">
        <v>140</v>
      </c>
      <c r="X20" s="163"/>
      <c r="Y20" s="54">
        <f t="shared" si="6"/>
        <v>0</v>
      </c>
      <c r="Z20" s="36">
        <v>140</v>
      </c>
      <c r="AA20" s="163"/>
      <c r="AB20" s="54">
        <f t="shared" si="7"/>
        <v>0</v>
      </c>
    </row>
    <row r="21" spans="1:28">
      <c r="A21" s="1701"/>
      <c r="B21" s="1718"/>
      <c r="C21" s="1691">
        <v>2</v>
      </c>
      <c r="D21" s="31" t="s">
        <v>353</v>
      </c>
      <c r="E21" s="36">
        <v>270</v>
      </c>
      <c r="F21" s="162"/>
      <c r="G21" s="54">
        <f t="shared" si="0"/>
        <v>0</v>
      </c>
      <c r="H21" s="36">
        <v>270</v>
      </c>
      <c r="I21" s="162"/>
      <c r="J21" s="54">
        <f t="shared" si="1"/>
        <v>0</v>
      </c>
      <c r="K21" s="36">
        <v>270</v>
      </c>
      <c r="L21" s="162"/>
      <c r="M21" s="54">
        <f t="shared" si="2"/>
        <v>0</v>
      </c>
      <c r="N21" s="36">
        <v>270</v>
      </c>
      <c r="O21" s="162"/>
      <c r="P21" s="54">
        <f t="shared" si="3"/>
        <v>0</v>
      </c>
      <c r="Q21" s="36">
        <v>270</v>
      </c>
      <c r="R21" s="162"/>
      <c r="S21" s="54">
        <f t="shared" si="4"/>
        <v>0</v>
      </c>
      <c r="T21" s="36">
        <v>270</v>
      </c>
      <c r="U21" s="162"/>
      <c r="V21" s="54">
        <f t="shared" si="5"/>
        <v>0</v>
      </c>
      <c r="W21" s="36">
        <v>270</v>
      </c>
      <c r="X21" s="162"/>
      <c r="Y21" s="54">
        <f t="shared" si="6"/>
        <v>0</v>
      </c>
      <c r="Z21" s="36">
        <v>270</v>
      </c>
      <c r="AA21" s="162"/>
      <c r="AB21" s="54">
        <f t="shared" si="7"/>
        <v>0</v>
      </c>
    </row>
    <row r="22" spans="1:28">
      <c r="A22" s="1701"/>
      <c r="B22" s="1718"/>
      <c r="C22" s="1691"/>
      <c r="D22" s="31" t="s">
        <v>355</v>
      </c>
      <c r="E22" s="36">
        <v>180</v>
      </c>
      <c r="F22" s="163"/>
      <c r="G22" s="54">
        <f t="shared" si="0"/>
        <v>0</v>
      </c>
      <c r="H22" s="36">
        <v>180</v>
      </c>
      <c r="I22" s="163"/>
      <c r="J22" s="54">
        <f t="shared" si="1"/>
        <v>0</v>
      </c>
      <c r="K22" s="36">
        <v>180</v>
      </c>
      <c r="L22" s="163"/>
      <c r="M22" s="54">
        <f t="shared" si="2"/>
        <v>0</v>
      </c>
      <c r="N22" s="36">
        <v>180</v>
      </c>
      <c r="O22" s="163"/>
      <c r="P22" s="54">
        <f t="shared" si="3"/>
        <v>0</v>
      </c>
      <c r="Q22" s="36">
        <v>180</v>
      </c>
      <c r="R22" s="163"/>
      <c r="S22" s="54">
        <f t="shared" si="4"/>
        <v>0</v>
      </c>
      <c r="T22" s="36">
        <v>180</v>
      </c>
      <c r="U22" s="163"/>
      <c r="V22" s="54">
        <f t="shared" si="5"/>
        <v>0</v>
      </c>
      <c r="W22" s="36">
        <v>180</v>
      </c>
      <c r="X22" s="163"/>
      <c r="Y22" s="54">
        <f t="shared" si="6"/>
        <v>0</v>
      </c>
      <c r="Z22" s="36">
        <v>180</v>
      </c>
      <c r="AA22" s="163"/>
      <c r="AB22" s="54">
        <f t="shared" si="7"/>
        <v>0</v>
      </c>
    </row>
    <row r="23" spans="1:28">
      <c r="A23" s="1701"/>
      <c r="B23" s="1718" t="s">
        <v>356</v>
      </c>
      <c r="C23" s="1691">
        <v>1</v>
      </c>
      <c r="D23" s="31" t="s">
        <v>329</v>
      </c>
      <c r="E23" s="36">
        <v>180</v>
      </c>
      <c r="F23" s="162"/>
      <c r="G23" s="54">
        <f t="shared" si="0"/>
        <v>0</v>
      </c>
      <c r="H23" s="36">
        <v>180</v>
      </c>
      <c r="I23" s="162"/>
      <c r="J23" s="54">
        <f t="shared" si="1"/>
        <v>0</v>
      </c>
      <c r="K23" s="36">
        <v>180</v>
      </c>
      <c r="L23" s="162"/>
      <c r="M23" s="54">
        <f t="shared" si="2"/>
        <v>0</v>
      </c>
      <c r="N23" s="36">
        <v>180</v>
      </c>
      <c r="O23" s="162"/>
      <c r="P23" s="54">
        <f t="shared" si="3"/>
        <v>0</v>
      </c>
      <c r="Q23" s="36">
        <v>180</v>
      </c>
      <c r="R23" s="162"/>
      <c r="S23" s="54">
        <f t="shared" si="4"/>
        <v>0</v>
      </c>
      <c r="T23" s="36">
        <v>180</v>
      </c>
      <c r="U23" s="162"/>
      <c r="V23" s="54">
        <f t="shared" si="5"/>
        <v>0</v>
      </c>
      <c r="W23" s="36">
        <v>180</v>
      </c>
      <c r="X23" s="162"/>
      <c r="Y23" s="54">
        <f t="shared" si="6"/>
        <v>0</v>
      </c>
      <c r="Z23" s="36">
        <v>180</v>
      </c>
      <c r="AA23" s="162"/>
      <c r="AB23" s="54">
        <f t="shared" si="7"/>
        <v>0</v>
      </c>
    </row>
    <row r="24" spans="1:28">
      <c r="A24" s="1701"/>
      <c r="B24" s="1718"/>
      <c r="C24" s="1691"/>
      <c r="D24" s="31" t="s">
        <v>353</v>
      </c>
      <c r="E24" s="36">
        <v>160</v>
      </c>
      <c r="F24" s="163"/>
      <c r="G24" s="54">
        <f t="shared" si="0"/>
        <v>0</v>
      </c>
      <c r="H24" s="36">
        <v>160</v>
      </c>
      <c r="I24" s="163"/>
      <c r="J24" s="54">
        <f t="shared" si="1"/>
        <v>0</v>
      </c>
      <c r="K24" s="36">
        <v>160</v>
      </c>
      <c r="L24" s="163"/>
      <c r="M24" s="54">
        <f t="shared" si="2"/>
        <v>0</v>
      </c>
      <c r="N24" s="36">
        <v>160</v>
      </c>
      <c r="O24" s="163"/>
      <c r="P24" s="54">
        <f t="shared" si="3"/>
        <v>0</v>
      </c>
      <c r="Q24" s="36">
        <v>160</v>
      </c>
      <c r="R24" s="163"/>
      <c r="S24" s="54">
        <f t="shared" si="4"/>
        <v>0</v>
      </c>
      <c r="T24" s="36">
        <v>160</v>
      </c>
      <c r="U24" s="163"/>
      <c r="V24" s="54">
        <f t="shared" si="5"/>
        <v>0</v>
      </c>
      <c r="W24" s="36">
        <v>160</v>
      </c>
      <c r="X24" s="163"/>
      <c r="Y24" s="54">
        <f t="shared" si="6"/>
        <v>0</v>
      </c>
      <c r="Z24" s="36">
        <v>160</v>
      </c>
      <c r="AA24" s="163"/>
      <c r="AB24" s="54">
        <f t="shared" si="7"/>
        <v>0</v>
      </c>
    </row>
    <row r="25" spans="1:28">
      <c r="A25" s="1701"/>
      <c r="B25" s="1718"/>
      <c r="C25" s="1691"/>
      <c r="D25" s="31" t="s">
        <v>355</v>
      </c>
      <c r="E25" s="36">
        <v>130</v>
      </c>
      <c r="F25" s="163"/>
      <c r="G25" s="54">
        <f t="shared" si="0"/>
        <v>0</v>
      </c>
      <c r="H25" s="36">
        <v>130</v>
      </c>
      <c r="I25" s="163"/>
      <c r="J25" s="54">
        <f t="shared" si="1"/>
        <v>0</v>
      </c>
      <c r="K25" s="36">
        <v>130</v>
      </c>
      <c r="L25" s="163"/>
      <c r="M25" s="54">
        <f t="shared" si="2"/>
        <v>0</v>
      </c>
      <c r="N25" s="36">
        <v>130</v>
      </c>
      <c r="O25" s="163"/>
      <c r="P25" s="54">
        <f t="shared" si="3"/>
        <v>0</v>
      </c>
      <c r="Q25" s="36">
        <v>130</v>
      </c>
      <c r="R25" s="163"/>
      <c r="S25" s="54">
        <f t="shared" si="4"/>
        <v>0</v>
      </c>
      <c r="T25" s="36">
        <v>130</v>
      </c>
      <c r="U25" s="163"/>
      <c r="V25" s="54">
        <f t="shared" si="5"/>
        <v>0</v>
      </c>
      <c r="W25" s="36">
        <v>130</v>
      </c>
      <c r="X25" s="163"/>
      <c r="Y25" s="54">
        <f t="shared" si="6"/>
        <v>0</v>
      </c>
      <c r="Z25" s="36">
        <v>130</v>
      </c>
      <c r="AA25" s="163"/>
      <c r="AB25" s="54">
        <f t="shared" si="7"/>
        <v>0</v>
      </c>
    </row>
    <row r="26" spans="1:28">
      <c r="A26" s="1701"/>
      <c r="B26" s="1718"/>
      <c r="C26" s="1691">
        <v>2</v>
      </c>
      <c r="D26" s="31" t="s">
        <v>353</v>
      </c>
      <c r="E26" s="36">
        <v>190</v>
      </c>
      <c r="F26" s="162"/>
      <c r="G26" s="54">
        <f t="shared" si="0"/>
        <v>0</v>
      </c>
      <c r="H26" s="36">
        <v>190</v>
      </c>
      <c r="I26" s="162"/>
      <c r="J26" s="54">
        <f t="shared" si="1"/>
        <v>0</v>
      </c>
      <c r="K26" s="36">
        <v>190</v>
      </c>
      <c r="L26" s="162"/>
      <c r="M26" s="54">
        <f t="shared" si="2"/>
        <v>0</v>
      </c>
      <c r="N26" s="36">
        <v>190</v>
      </c>
      <c r="O26" s="162"/>
      <c r="P26" s="54">
        <f t="shared" si="3"/>
        <v>0</v>
      </c>
      <c r="Q26" s="36">
        <v>190</v>
      </c>
      <c r="R26" s="162"/>
      <c r="S26" s="54">
        <f t="shared" si="4"/>
        <v>0</v>
      </c>
      <c r="T26" s="36">
        <v>190</v>
      </c>
      <c r="U26" s="162"/>
      <c r="V26" s="54">
        <f t="shared" si="5"/>
        <v>0</v>
      </c>
      <c r="W26" s="36">
        <v>190</v>
      </c>
      <c r="X26" s="162"/>
      <c r="Y26" s="54">
        <f t="shared" si="6"/>
        <v>0</v>
      </c>
      <c r="Z26" s="36">
        <v>190</v>
      </c>
      <c r="AA26" s="162"/>
      <c r="AB26" s="54">
        <f t="shared" si="7"/>
        <v>0</v>
      </c>
    </row>
    <row r="27" spans="1:28">
      <c r="A27" s="1701"/>
      <c r="B27" s="1718"/>
      <c r="C27" s="1691"/>
      <c r="D27" s="31" t="s">
        <v>355</v>
      </c>
      <c r="E27" s="36">
        <v>160</v>
      </c>
      <c r="F27" s="163"/>
      <c r="G27" s="54">
        <f t="shared" si="0"/>
        <v>0</v>
      </c>
      <c r="H27" s="36">
        <v>160</v>
      </c>
      <c r="I27" s="163"/>
      <c r="J27" s="54">
        <f t="shared" si="1"/>
        <v>0</v>
      </c>
      <c r="K27" s="36">
        <v>160</v>
      </c>
      <c r="L27" s="163"/>
      <c r="M27" s="54">
        <f t="shared" si="2"/>
        <v>0</v>
      </c>
      <c r="N27" s="36">
        <v>160</v>
      </c>
      <c r="O27" s="163"/>
      <c r="P27" s="54">
        <f t="shared" si="3"/>
        <v>0</v>
      </c>
      <c r="Q27" s="36">
        <v>160</v>
      </c>
      <c r="R27" s="163"/>
      <c r="S27" s="54">
        <f t="shared" si="4"/>
        <v>0</v>
      </c>
      <c r="T27" s="36">
        <v>160</v>
      </c>
      <c r="U27" s="163"/>
      <c r="V27" s="54">
        <f t="shared" si="5"/>
        <v>0</v>
      </c>
      <c r="W27" s="36">
        <v>160</v>
      </c>
      <c r="X27" s="163"/>
      <c r="Y27" s="54">
        <f t="shared" si="6"/>
        <v>0</v>
      </c>
      <c r="Z27" s="36">
        <v>160</v>
      </c>
      <c r="AA27" s="163"/>
      <c r="AB27" s="54">
        <f t="shared" si="7"/>
        <v>0</v>
      </c>
    </row>
    <row r="28" spans="1:28">
      <c r="A28" s="1701" t="s">
        <v>332</v>
      </c>
      <c r="B28" s="35">
        <v>220</v>
      </c>
      <c r="C28" s="33" t="s">
        <v>352</v>
      </c>
      <c r="D28" s="33" t="s">
        <v>352</v>
      </c>
      <c r="E28" s="36">
        <v>3000</v>
      </c>
      <c r="F28" s="163"/>
      <c r="G28" s="54">
        <f t="shared" si="0"/>
        <v>0</v>
      </c>
      <c r="H28" s="36">
        <v>3000</v>
      </c>
      <c r="I28" s="163"/>
      <c r="J28" s="54">
        <f t="shared" si="1"/>
        <v>0</v>
      </c>
      <c r="K28" s="36">
        <v>3000</v>
      </c>
      <c r="L28" s="163"/>
      <c r="M28" s="54">
        <f t="shared" si="2"/>
        <v>0</v>
      </c>
      <c r="N28" s="36">
        <v>3000</v>
      </c>
      <c r="O28" s="163"/>
      <c r="P28" s="54">
        <f t="shared" si="3"/>
        <v>0</v>
      </c>
      <c r="Q28" s="36">
        <v>3000</v>
      </c>
      <c r="R28" s="163"/>
      <c r="S28" s="54">
        <f t="shared" si="4"/>
        <v>0</v>
      </c>
      <c r="T28" s="36">
        <v>3000</v>
      </c>
      <c r="U28" s="163"/>
      <c r="V28" s="54">
        <f t="shared" si="5"/>
        <v>0</v>
      </c>
      <c r="W28" s="36">
        <v>3000</v>
      </c>
      <c r="X28" s="163"/>
      <c r="Y28" s="54">
        <f t="shared" si="6"/>
        <v>0</v>
      </c>
      <c r="Z28" s="36">
        <v>3000</v>
      </c>
      <c r="AA28" s="163"/>
      <c r="AB28" s="54">
        <f t="shared" si="7"/>
        <v>0</v>
      </c>
    </row>
    <row r="29" spans="1:28">
      <c r="A29" s="1701"/>
      <c r="B29" s="35">
        <v>110</v>
      </c>
      <c r="C29" s="33" t="s">
        <v>352</v>
      </c>
      <c r="D29" s="33" t="s">
        <v>352</v>
      </c>
      <c r="E29" s="36">
        <v>2300</v>
      </c>
      <c r="F29" s="163"/>
      <c r="G29" s="54">
        <f t="shared" si="0"/>
        <v>0</v>
      </c>
      <c r="H29" s="36">
        <v>2300</v>
      </c>
      <c r="I29" s="163"/>
      <c r="J29" s="54">
        <f t="shared" si="1"/>
        <v>0</v>
      </c>
      <c r="K29" s="36">
        <v>2300</v>
      </c>
      <c r="L29" s="163"/>
      <c r="M29" s="54">
        <f t="shared" si="2"/>
        <v>0</v>
      </c>
      <c r="N29" s="36">
        <v>2300</v>
      </c>
      <c r="O29" s="163"/>
      <c r="P29" s="54">
        <f t="shared" si="3"/>
        <v>0</v>
      </c>
      <c r="Q29" s="36">
        <v>2300</v>
      </c>
      <c r="R29" s="163"/>
      <c r="S29" s="54">
        <f t="shared" si="4"/>
        <v>0</v>
      </c>
      <c r="T29" s="36">
        <v>2300</v>
      </c>
      <c r="U29" s="163"/>
      <c r="V29" s="54">
        <f t="shared" si="5"/>
        <v>0</v>
      </c>
      <c r="W29" s="36">
        <v>2300</v>
      </c>
      <c r="X29" s="163"/>
      <c r="Y29" s="54">
        <f t="shared" si="6"/>
        <v>0</v>
      </c>
      <c r="Z29" s="36">
        <v>2300</v>
      </c>
      <c r="AA29" s="163"/>
      <c r="AB29" s="54">
        <f t="shared" si="7"/>
        <v>0</v>
      </c>
    </row>
    <row r="30" spans="1:28" ht="13.5" thickBot="1">
      <c r="A30" s="1693" t="s">
        <v>357</v>
      </c>
      <c r="B30" s="1694"/>
      <c r="C30" s="1694"/>
      <c r="D30" s="1694"/>
      <c r="E30" s="1694"/>
      <c r="F30" s="1695"/>
      <c r="G30" s="153">
        <f>SUM(G10:G29)</f>
        <v>0</v>
      </c>
      <c r="J30" s="153">
        <f>SUM(J10:J29)</f>
        <v>0</v>
      </c>
      <c r="M30" s="153">
        <f>SUM(M10:M29)</f>
        <v>0</v>
      </c>
      <c r="P30" s="153">
        <f>SUM(P10:P29)</f>
        <v>0</v>
      </c>
      <c r="S30" s="153">
        <f>SUM(S10:S29)</f>
        <v>0</v>
      </c>
      <c r="V30" s="153">
        <f>SUM(V10:V29)</f>
        <v>0</v>
      </c>
      <c r="Y30" s="153">
        <f>SUM(Y10:Y29)</f>
        <v>0</v>
      </c>
      <c r="AB30" s="153">
        <f>SUM(AB10:AB29)</f>
        <v>0</v>
      </c>
    </row>
    <row r="31" spans="1:28">
      <c r="A31" s="1696" t="s">
        <v>328</v>
      </c>
      <c r="B31" s="1698">
        <v>35</v>
      </c>
      <c r="C31" s="1703">
        <v>1</v>
      </c>
      <c r="D31" s="52" t="s">
        <v>329</v>
      </c>
      <c r="E31" s="68">
        <v>170</v>
      </c>
      <c r="F31" s="160"/>
      <c r="G31" s="67">
        <f>E31*F31/100</f>
        <v>0</v>
      </c>
      <c r="H31" s="68">
        <v>170</v>
      </c>
      <c r="I31" s="160"/>
      <c r="J31" s="67">
        <f>H31*I31/100</f>
        <v>0</v>
      </c>
      <c r="K31" s="68">
        <v>170</v>
      </c>
      <c r="L31" s="160"/>
      <c r="M31" s="67">
        <f>K31*L31/100</f>
        <v>0</v>
      </c>
      <c r="N31" s="68">
        <v>170</v>
      </c>
      <c r="O31" s="160"/>
      <c r="P31" s="67">
        <f>N31*O31/100</f>
        <v>0</v>
      </c>
      <c r="Q31" s="68">
        <v>170</v>
      </c>
      <c r="R31" s="160"/>
      <c r="S31" s="67">
        <f>Q31*R31/100</f>
        <v>0</v>
      </c>
      <c r="T31" s="68">
        <v>170</v>
      </c>
      <c r="U31" s="160"/>
      <c r="V31" s="67">
        <f>T31*U31/100</f>
        <v>0</v>
      </c>
      <c r="W31" s="68">
        <v>170</v>
      </c>
      <c r="X31" s="160"/>
      <c r="Y31" s="67">
        <f>W31*X31/100</f>
        <v>0</v>
      </c>
      <c r="Z31" s="68">
        <v>170</v>
      </c>
      <c r="AA31" s="160"/>
      <c r="AB31" s="67">
        <f>Z31*AA31/100</f>
        <v>0</v>
      </c>
    </row>
    <row r="32" spans="1:28">
      <c r="A32" s="1697"/>
      <c r="B32" s="1699"/>
      <c r="C32" s="1692"/>
      <c r="D32" s="31" t="s">
        <v>353</v>
      </c>
      <c r="E32" s="36">
        <v>140</v>
      </c>
      <c r="F32" s="161"/>
      <c r="G32" s="54">
        <f>E32*F32/100</f>
        <v>0</v>
      </c>
      <c r="H32" s="36">
        <v>140</v>
      </c>
      <c r="I32" s="161"/>
      <c r="J32" s="54">
        <f>H32*I32/100</f>
        <v>0</v>
      </c>
      <c r="K32" s="36">
        <v>140</v>
      </c>
      <c r="L32" s="161"/>
      <c r="M32" s="54">
        <f>K32*L32/100</f>
        <v>0</v>
      </c>
      <c r="N32" s="36">
        <v>140</v>
      </c>
      <c r="O32" s="161"/>
      <c r="P32" s="54">
        <f>N32*O32/100</f>
        <v>0</v>
      </c>
      <c r="Q32" s="36">
        <v>140</v>
      </c>
      <c r="R32" s="161"/>
      <c r="S32" s="54">
        <f>Q32*R32/100</f>
        <v>0</v>
      </c>
      <c r="T32" s="36">
        <v>140</v>
      </c>
      <c r="U32" s="161"/>
      <c r="V32" s="54">
        <f>T32*U32/100</f>
        <v>0</v>
      </c>
      <c r="W32" s="36">
        <v>140</v>
      </c>
      <c r="X32" s="161"/>
      <c r="Y32" s="54">
        <f>W32*X32/100</f>
        <v>0</v>
      </c>
      <c r="Z32" s="36">
        <v>140</v>
      </c>
      <c r="AA32" s="161"/>
      <c r="AB32" s="54">
        <f>Z32*AA32/100</f>
        <v>0</v>
      </c>
    </row>
    <row r="33" spans="1:28">
      <c r="A33" s="1697"/>
      <c r="B33" s="1699"/>
      <c r="C33" s="1692"/>
      <c r="D33" s="31" t="s">
        <v>355</v>
      </c>
      <c r="E33" s="36">
        <v>120</v>
      </c>
      <c r="F33" s="161"/>
      <c r="G33" s="54">
        <f t="shared" ref="G33:G40" si="8">E33*F33/100</f>
        <v>0</v>
      </c>
      <c r="H33" s="36">
        <v>120</v>
      </c>
      <c r="I33" s="161"/>
      <c r="J33" s="54">
        <f t="shared" ref="J33:J40" si="9">H33*I33/100</f>
        <v>0</v>
      </c>
      <c r="K33" s="36">
        <v>120</v>
      </c>
      <c r="L33" s="161"/>
      <c r="M33" s="54">
        <f t="shared" ref="M33:M40" si="10">K33*L33/100</f>
        <v>0</v>
      </c>
      <c r="N33" s="36">
        <v>120</v>
      </c>
      <c r="O33" s="161"/>
      <c r="P33" s="54">
        <f t="shared" ref="P33:P40" si="11">N33*O33/100</f>
        <v>0</v>
      </c>
      <c r="Q33" s="36">
        <v>120</v>
      </c>
      <c r="R33" s="161"/>
      <c r="S33" s="54">
        <f t="shared" ref="S33:S40" si="12">Q33*R33/100</f>
        <v>0</v>
      </c>
      <c r="T33" s="36">
        <v>120</v>
      </c>
      <c r="U33" s="161"/>
      <c r="V33" s="54">
        <f t="shared" ref="V33:V40" si="13">T33*U33/100</f>
        <v>0</v>
      </c>
      <c r="W33" s="36">
        <v>120</v>
      </c>
      <c r="X33" s="161"/>
      <c r="Y33" s="54">
        <f t="shared" ref="Y33:Y40" si="14">W33*X33/100</f>
        <v>0</v>
      </c>
      <c r="Z33" s="36">
        <v>120</v>
      </c>
      <c r="AA33" s="161"/>
      <c r="AB33" s="54">
        <f t="shared" ref="AB33:AB40" si="15">Z33*AA33/100</f>
        <v>0</v>
      </c>
    </row>
    <row r="34" spans="1:28">
      <c r="A34" s="1697"/>
      <c r="B34" s="1699"/>
      <c r="C34" s="1692">
        <v>2</v>
      </c>
      <c r="D34" s="31" t="s">
        <v>353</v>
      </c>
      <c r="E34" s="36">
        <v>180</v>
      </c>
      <c r="F34" s="161"/>
      <c r="G34" s="54">
        <f t="shared" si="8"/>
        <v>0</v>
      </c>
      <c r="H34" s="36">
        <v>180</v>
      </c>
      <c r="I34" s="161"/>
      <c r="J34" s="54">
        <f t="shared" si="9"/>
        <v>0</v>
      </c>
      <c r="K34" s="36">
        <v>180</v>
      </c>
      <c r="L34" s="161"/>
      <c r="M34" s="54">
        <f t="shared" si="10"/>
        <v>0</v>
      </c>
      <c r="N34" s="36">
        <v>180</v>
      </c>
      <c r="O34" s="161"/>
      <c r="P34" s="54">
        <f t="shared" si="11"/>
        <v>0</v>
      </c>
      <c r="Q34" s="36">
        <v>180</v>
      </c>
      <c r="R34" s="161"/>
      <c r="S34" s="54">
        <f t="shared" si="12"/>
        <v>0</v>
      </c>
      <c r="T34" s="36">
        <v>180</v>
      </c>
      <c r="U34" s="161"/>
      <c r="V34" s="54">
        <f t="shared" si="13"/>
        <v>0</v>
      </c>
      <c r="W34" s="36">
        <v>180</v>
      </c>
      <c r="X34" s="161"/>
      <c r="Y34" s="54">
        <f t="shared" si="14"/>
        <v>0</v>
      </c>
      <c r="Z34" s="36">
        <v>180</v>
      </c>
      <c r="AA34" s="161"/>
      <c r="AB34" s="54">
        <f t="shared" si="15"/>
        <v>0</v>
      </c>
    </row>
    <row r="35" spans="1:28">
      <c r="A35" s="1697"/>
      <c r="B35" s="1699"/>
      <c r="C35" s="1692"/>
      <c r="D35" s="31" t="s">
        <v>355</v>
      </c>
      <c r="E35" s="36">
        <v>150</v>
      </c>
      <c r="F35" s="161"/>
      <c r="G35" s="54">
        <f t="shared" si="8"/>
        <v>0</v>
      </c>
      <c r="H35" s="36">
        <v>150</v>
      </c>
      <c r="I35" s="161"/>
      <c r="J35" s="54">
        <f t="shared" si="9"/>
        <v>0</v>
      </c>
      <c r="K35" s="36">
        <v>150</v>
      </c>
      <c r="L35" s="161"/>
      <c r="M35" s="54">
        <f t="shared" si="10"/>
        <v>0</v>
      </c>
      <c r="N35" s="36">
        <v>150</v>
      </c>
      <c r="O35" s="161"/>
      <c r="P35" s="54">
        <f t="shared" si="11"/>
        <v>0</v>
      </c>
      <c r="Q35" s="36">
        <v>150</v>
      </c>
      <c r="R35" s="161"/>
      <c r="S35" s="54">
        <f t="shared" si="12"/>
        <v>0</v>
      </c>
      <c r="T35" s="36">
        <v>150</v>
      </c>
      <c r="U35" s="161"/>
      <c r="V35" s="54">
        <f t="shared" si="13"/>
        <v>0</v>
      </c>
      <c r="W35" s="36">
        <v>150</v>
      </c>
      <c r="X35" s="161"/>
      <c r="Y35" s="54">
        <f t="shared" si="14"/>
        <v>0</v>
      </c>
      <c r="Z35" s="36">
        <v>150</v>
      </c>
      <c r="AA35" s="161"/>
      <c r="AB35" s="54">
        <f t="shared" si="15"/>
        <v>0</v>
      </c>
    </row>
    <row r="36" spans="1:28">
      <c r="A36" s="1697"/>
      <c r="B36" s="1704" t="s">
        <v>358</v>
      </c>
      <c r="C36" s="1700" t="s">
        <v>352</v>
      </c>
      <c r="D36" s="36" t="s">
        <v>329</v>
      </c>
      <c r="E36" s="36">
        <v>160</v>
      </c>
      <c r="F36" s="161"/>
      <c r="G36" s="54">
        <f t="shared" si="8"/>
        <v>0</v>
      </c>
      <c r="H36" s="36">
        <v>160</v>
      </c>
      <c r="I36" s="161"/>
      <c r="J36" s="54">
        <f t="shared" si="9"/>
        <v>0</v>
      </c>
      <c r="K36" s="36">
        <v>160</v>
      </c>
      <c r="L36" s="161"/>
      <c r="M36" s="54">
        <f t="shared" si="10"/>
        <v>0</v>
      </c>
      <c r="N36" s="36">
        <v>160</v>
      </c>
      <c r="O36" s="161"/>
      <c r="P36" s="54">
        <f t="shared" si="11"/>
        <v>0</v>
      </c>
      <c r="Q36" s="36">
        <v>160</v>
      </c>
      <c r="R36" s="161"/>
      <c r="S36" s="54">
        <f t="shared" si="12"/>
        <v>0</v>
      </c>
      <c r="T36" s="36">
        <v>160</v>
      </c>
      <c r="U36" s="161"/>
      <c r="V36" s="54">
        <f t="shared" si="13"/>
        <v>0</v>
      </c>
      <c r="W36" s="36">
        <v>160</v>
      </c>
      <c r="X36" s="161"/>
      <c r="Y36" s="54">
        <f t="shared" si="14"/>
        <v>0</v>
      </c>
      <c r="Z36" s="36">
        <v>160</v>
      </c>
      <c r="AA36" s="161"/>
      <c r="AB36" s="54">
        <f t="shared" si="15"/>
        <v>0</v>
      </c>
    </row>
    <row r="37" spans="1:28" ht="38.25">
      <c r="A37" s="1697"/>
      <c r="B37" s="1704"/>
      <c r="C37" s="1700"/>
      <c r="D37" s="40" t="s">
        <v>330</v>
      </c>
      <c r="E37" s="36">
        <v>140</v>
      </c>
      <c r="F37" s="944">
        <v>7.0310000000000006</v>
      </c>
      <c r="G37" s="54">
        <f t="shared" si="8"/>
        <v>9.8434000000000008</v>
      </c>
      <c r="H37" s="36">
        <v>140</v>
      </c>
      <c r="I37" s="161">
        <v>4.5999999999999996</v>
      </c>
      <c r="J37" s="54">
        <f t="shared" si="9"/>
        <v>6.44</v>
      </c>
      <c r="K37" s="36">
        <v>140</v>
      </c>
      <c r="L37" s="161">
        <v>4.5999999999999996</v>
      </c>
      <c r="M37" s="54">
        <f t="shared" si="10"/>
        <v>6.44</v>
      </c>
      <c r="N37" s="36">
        <v>140</v>
      </c>
      <c r="O37" s="161">
        <f>F37</f>
        <v>7.0310000000000006</v>
      </c>
      <c r="P37" s="54">
        <f t="shared" si="11"/>
        <v>9.8434000000000008</v>
      </c>
      <c r="Q37" s="36">
        <v>140</v>
      </c>
      <c r="R37" s="161">
        <f>O37</f>
        <v>7.0310000000000006</v>
      </c>
      <c r="S37" s="54">
        <f t="shared" si="12"/>
        <v>9.8434000000000008</v>
      </c>
      <c r="T37" s="36">
        <v>140</v>
      </c>
      <c r="U37" s="161">
        <f>R37</f>
        <v>7.0310000000000006</v>
      </c>
      <c r="V37" s="54">
        <f t="shared" si="13"/>
        <v>9.8434000000000008</v>
      </c>
      <c r="W37" s="36">
        <v>140</v>
      </c>
      <c r="X37" s="161">
        <f>U37</f>
        <v>7.0310000000000006</v>
      </c>
      <c r="Y37" s="54">
        <f t="shared" si="14"/>
        <v>9.8434000000000008</v>
      </c>
      <c r="Z37" s="36">
        <v>140</v>
      </c>
      <c r="AA37" s="161">
        <f>X37</f>
        <v>7.0310000000000006</v>
      </c>
      <c r="AB37" s="54">
        <f t="shared" si="15"/>
        <v>9.8434000000000008</v>
      </c>
    </row>
    <row r="38" spans="1:28" ht="25.5">
      <c r="A38" s="1697"/>
      <c r="B38" s="1704"/>
      <c r="C38" s="1700"/>
      <c r="D38" s="40" t="s">
        <v>331</v>
      </c>
      <c r="E38" s="36">
        <v>110</v>
      </c>
      <c r="F38" s="945">
        <v>48.254999999999995</v>
      </c>
      <c r="G38" s="54">
        <f t="shared" si="8"/>
        <v>53.080499999999994</v>
      </c>
      <c r="H38" s="36">
        <v>110</v>
      </c>
      <c r="I38" s="161">
        <v>49.300999999999995</v>
      </c>
      <c r="J38" s="54">
        <f t="shared" si="9"/>
        <v>54.231099999999998</v>
      </c>
      <c r="K38" s="36">
        <v>110</v>
      </c>
      <c r="L38" s="947">
        <v>51.270999999999994</v>
      </c>
      <c r="M38" s="54">
        <f t="shared" si="10"/>
        <v>56.398099999999992</v>
      </c>
      <c r="N38" s="36">
        <v>110</v>
      </c>
      <c r="O38" s="947">
        <v>49.117999999999995</v>
      </c>
      <c r="P38" s="54">
        <f t="shared" si="11"/>
        <v>54.029799999999994</v>
      </c>
      <c r="Q38" s="36">
        <v>110</v>
      </c>
      <c r="R38" s="947">
        <f>O38+0.07</f>
        <v>49.187999999999995</v>
      </c>
      <c r="S38" s="54">
        <f t="shared" si="12"/>
        <v>54.106799999999993</v>
      </c>
      <c r="T38" s="36">
        <v>110</v>
      </c>
      <c r="U38" s="947">
        <f>R38</f>
        <v>49.187999999999995</v>
      </c>
      <c r="V38" s="54">
        <f t="shared" si="13"/>
        <v>54.106799999999993</v>
      </c>
      <c r="W38" s="36">
        <v>110</v>
      </c>
      <c r="X38" s="947">
        <f>U38</f>
        <v>49.187999999999995</v>
      </c>
      <c r="Y38" s="54">
        <f t="shared" si="14"/>
        <v>54.106799999999993</v>
      </c>
      <c r="Z38" s="36">
        <v>110</v>
      </c>
      <c r="AA38" s="947">
        <f>X38</f>
        <v>49.187999999999995</v>
      </c>
      <c r="AB38" s="54">
        <f t="shared" si="15"/>
        <v>54.106799999999993</v>
      </c>
    </row>
    <row r="39" spans="1:28">
      <c r="A39" s="1701" t="s">
        <v>332</v>
      </c>
      <c r="B39" s="35" t="s">
        <v>359</v>
      </c>
      <c r="C39" s="33" t="s">
        <v>352</v>
      </c>
      <c r="D39" s="33" t="s">
        <v>352</v>
      </c>
      <c r="E39" s="36">
        <v>470</v>
      </c>
      <c r="F39" s="946"/>
      <c r="G39" s="54">
        <f t="shared" si="8"/>
        <v>0</v>
      </c>
      <c r="H39" s="36">
        <v>470</v>
      </c>
      <c r="I39" s="161"/>
      <c r="J39" s="54">
        <f t="shared" si="9"/>
        <v>0</v>
      </c>
      <c r="K39" s="36">
        <v>470</v>
      </c>
      <c r="L39" s="161"/>
      <c r="M39" s="54">
        <f t="shared" si="10"/>
        <v>0</v>
      </c>
      <c r="N39" s="36">
        <v>470</v>
      </c>
      <c r="O39" s="161"/>
      <c r="P39" s="54">
        <f t="shared" si="11"/>
        <v>0</v>
      </c>
      <c r="Q39" s="36">
        <v>470</v>
      </c>
      <c r="R39" s="161"/>
      <c r="S39" s="54">
        <f t="shared" si="12"/>
        <v>0</v>
      </c>
      <c r="T39" s="36">
        <v>470</v>
      </c>
      <c r="U39" s="161"/>
      <c r="V39" s="54">
        <f t="shared" si="13"/>
        <v>0</v>
      </c>
      <c r="W39" s="36">
        <v>470</v>
      </c>
      <c r="X39" s="161"/>
      <c r="Y39" s="54">
        <f t="shared" si="14"/>
        <v>0</v>
      </c>
      <c r="Z39" s="36">
        <v>470</v>
      </c>
      <c r="AA39" s="161"/>
      <c r="AB39" s="54">
        <f t="shared" si="15"/>
        <v>0</v>
      </c>
    </row>
    <row r="40" spans="1:28">
      <c r="A40" s="1714"/>
      <c r="B40" s="41" t="s">
        <v>360</v>
      </c>
      <c r="C40" s="42" t="s">
        <v>352</v>
      </c>
      <c r="D40" s="42" t="s">
        <v>352</v>
      </c>
      <c r="E40" s="43">
        <v>350</v>
      </c>
      <c r="F40" s="1051">
        <v>3.1530000000000005</v>
      </c>
      <c r="G40" s="54">
        <f t="shared" si="8"/>
        <v>11.035500000000003</v>
      </c>
      <c r="H40" s="43">
        <v>350</v>
      </c>
      <c r="I40" s="258">
        <v>3.153</v>
      </c>
      <c r="J40" s="259">
        <f t="shared" si="9"/>
        <v>11.035499999999999</v>
      </c>
      <c r="K40" s="43">
        <v>350</v>
      </c>
      <c r="L40" s="258">
        <v>3.7630000000000003</v>
      </c>
      <c r="M40" s="259">
        <f t="shared" si="10"/>
        <v>13.170500000000002</v>
      </c>
      <c r="N40" s="43">
        <v>350</v>
      </c>
      <c r="O40" s="258">
        <f>F40</f>
        <v>3.1530000000000005</v>
      </c>
      <c r="P40" s="259">
        <f t="shared" si="11"/>
        <v>11.035500000000003</v>
      </c>
      <c r="Q40" s="43">
        <v>350</v>
      </c>
      <c r="R40" s="258">
        <f>O40</f>
        <v>3.1530000000000005</v>
      </c>
      <c r="S40" s="259">
        <f t="shared" si="12"/>
        <v>11.035500000000003</v>
      </c>
      <c r="T40" s="43">
        <v>350</v>
      </c>
      <c r="U40" s="258">
        <f>R40</f>
        <v>3.1530000000000005</v>
      </c>
      <c r="V40" s="259">
        <f t="shared" si="13"/>
        <v>11.035500000000003</v>
      </c>
      <c r="W40" s="43">
        <v>350</v>
      </c>
      <c r="X40" s="258">
        <f>U40</f>
        <v>3.1530000000000005</v>
      </c>
      <c r="Y40" s="259">
        <f t="shared" si="14"/>
        <v>11.035500000000003</v>
      </c>
      <c r="Z40" s="43">
        <v>350</v>
      </c>
      <c r="AA40" s="258">
        <f>X40</f>
        <v>3.1530000000000005</v>
      </c>
      <c r="AB40" s="259">
        <f t="shared" si="15"/>
        <v>11.035500000000003</v>
      </c>
    </row>
    <row r="41" spans="1:28">
      <c r="A41" s="1711" t="s">
        <v>361</v>
      </c>
      <c r="B41" s="1712"/>
      <c r="C41" s="1712"/>
      <c r="D41" s="1712"/>
      <c r="E41" s="1712"/>
      <c r="F41" s="1713"/>
      <c r="G41" s="257">
        <f>G42+G43</f>
        <v>73.959400000000002</v>
      </c>
      <c r="H41" s="260"/>
      <c r="I41" s="260"/>
      <c r="J41" s="36">
        <f>J42+J43</f>
        <v>71.706599999999995</v>
      </c>
      <c r="K41" s="260"/>
      <c r="L41" s="260"/>
      <c r="M41" s="36">
        <f>M42+M43</f>
        <v>76.008599999999987</v>
      </c>
      <c r="N41" s="260"/>
      <c r="O41" s="260"/>
      <c r="P41" s="36">
        <f>P42+P43</f>
        <v>74.908699999999996</v>
      </c>
      <c r="Q41" s="260"/>
      <c r="R41" s="260"/>
      <c r="S41" s="36">
        <f>S42+S43</f>
        <v>74.985699999999994</v>
      </c>
      <c r="T41" s="260"/>
      <c r="U41" s="260"/>
      <c r="V41" s="36">
        <f>V42+V43</f>
        <v>74.985699999999994</v>
      </c>
      <c r="W41" s="260"/>
      <c r="X41" s="260"/>
      <c r="Y41" s="36">
        <f>Y42+Y43</f>
        <v>74.985699999999994</v>
      </c>
      <c r="Z41" s="260"/>
      <c r="AA41" s="260"/>
      <c r="AB41" s="36">
        <f>AB42+AB43</f>
        <v>74.985699999999994</v>
      </c>
    </row>
    <row r="42" spans="1:28">
      <c r="A42" s="56"/>
      <c r="B42" s="50" t="s">
        <v>387</v>
      </c>
      <c r="C42" s="37"/>
      <c r="D42" s="37"/>
      <c r="E42" s="37"/>
      <c r="F42" s="38"/>
      <c r="G42" s="257">
        <f>G31+G32+G33+G34+G35+G39</f>
        <v>0</v>
      </c>
      <c r="H42" s="260"/>
      <c r="I42" s="260"/>
      <c r="J42" s="36">
        <f>J31+J32+J33+J34+J35+J39</f>
        <v>0</v>
      </c>
      <c r="K42" s="260"/>
      <c r="L42" s="260"/>
      <c r="M42" s="36">
        <f>M31+M32+M33+M34+M35+M39</f>
        <v>0</v>
      </c>
      <c r="N42" s="260"/>
      <c r="O42" s="260"/>
      <c r="P42" s="36">
        <f>P31+P32+P33+P34+P35+P39</f>
        <v>0</v>
      </c>
      <c r="Q42" s="260"/>
      <c r="R42" s="260"/>
      <c r="S42" s="36">
        <f>S31+S32+S33+S34+S35+S39</f>
        <v>0</v>
      </c>
      <c r="T42" s="260"/>
      <c r="U42" s="260"/>
      <c r="V42" s="36">
        <f>V31+V32+V33+V34+V35+V39</f>
        <v>0</v>
      </c>
      <c r="W42" s="260"/>
      <c r="X42" s="260"/>
      <c r="Y42" s="36">
        <f>Y31+Y32+Y33+Y34+Y35+Y39</f>
        <v>0</v>
      </c>
      <c r="Z42" s="260"/>
      <c r="AA42" s="260"/>
      <c r="AB42" s="36">
        <f>AB31+AB32+AB33+AB34+AB35+AB39</f>
        <v>0</v>
      </c>
    </row>
    <row r="43" spans="1:28" ht="13.5" thickBot="1">
      <c r="A43" s="59"/>
      <c r="B43" s="69" t="s">
        <v>388</v>
      </c>
      <c r="C43" s="60"/>
      <c r="D43" s="60"/>
      <c r="E43" s="60"/>
      <c r="F43" s="61"/>
      <c r="G43" s="264">
        <f>G36+G37+G38+G40</f>
        <v>73.959400000000002</v>
      </c>
      <c r="H43" s="265"/>
      <c r="I43" s="265"/>
      <c r="J43" s="43">
        <f>J36+J37+J38+J40</f>
        <v>71.706599999999995</v>
      </c>
      <c r="K43" s="265"/>
      <c r="L43" s="265"/>
      <c r="M43" s="43">
        <f>M36+M37+M38+M40</f>
        <v>76.008599999999987</v>
      </c>
      <c r="N43" s="265"/>
      <c r="O43" s="265"/>
      <c r="P43" s="43">
        <f>P36+P37+P38+P40</f>
        <v>74.908699999999996</v>
      </c>
      <c r="Q43" s="265"/>
      <c r="R43" s="265"/>
      <c r="S43" s="43">
        <f>S36+S37+S38+S40</f>
        <v>74.985699999999994</v>
      </c>
      <c r="T43" s="265"/>
      <c r="U43" s="265"/>
      <c r="V43" s="43">
        <f>V36+V37+V38+V40</f>
        <v>74.985699999999994</v>
      </c>
      <c r="W43" s="265"/>
      <c r="X43" s="265"/>
      <c r="Y43" s="43">
        <f>Y36+Y37+Y38+Y40</f>
        <v>74.985699999999994</v>
      </c>
      <c r="Z43" s="265"/>
      <c r="AA43" s="265"/>
      <c r="AB43" s="43">
        <f>AB36+AB37+AB38+AB40</f>
        <v>74.985699999999994</v>
      </c>
    </row>
    <row r="44" spans="1:28">
      <c r="A44" s="1707" t="s">
        <v>328</v>
      </c>
      <c r="B44" s="1709" t="s">
        <v>362</v>
      </c>
      <c r="C44" s="1708" t="s">
        <v>352</v>
      </c>
      <c r="D44" s="65" t="s">
        <v>329</v>
      </c>
      <c r="E44" s="65">
        <v>260</v>
      </c>
      <c r="F44" s="263"/>
      <c r="G44" s="266">
        <f>E44*F44/100</f>
        <v>0</v>
      </c>
      <c r="H44" s="68">
        <v>260</v>
      </c>
      <c r="I44" s="160"/>
      <c r="J44" s="67">
        <f>H44*I44/100</f>
        <v>0</v>
      </c>
      <c r="K44" s="68">
        <v>260</v>
      </c>
      <c r="L44" s="160"/>
      <c r="M44" s="67">
        <f>K44*L44/100</f>
        <v>0</v>
      </c>
      <c r="N44" s="68">
        <v>260</v>
      </c>
      <c r="O44" s="160"/>
      <c r="P44" s="67">
        <f>N44*O44/100</f>
        <v>0</v>
      </c>
      <c r="Q44" s="68">
        <v>260</v>
      </c>
      <c r="R44" s="160"/>
      <c r="S44" s="67">
        <f>Q44*R44/100</f>
        <v>0</v>
      </c>
      <c r="T44" s="68">
        <v>260</v>
      </c>
      <c r="U44" s="160"/>
      <c r="V44" s="67">
        <f>T44*U44/100</f>
        <v>0</v>
      </c>
      <c r="W44" s="68">
        <v>260</v>
      </c>
      <c r="X44" s="160"/>
      <c r="Y44" s="67">
        <f>W44*X44/100</f>
        <v>0</v>
      </c>
      <c r="Z44" s="68">
        <v>260</v>
      </c>
      <c r="AA44" s="160"/>
      <c r="AB44" s="67">
        <f>Z44*AA44/100</f>
        <v>0</v>
      </c>
    </row>
    <row r="45" spans="1:28" ht="38.25">
      <c r="A45" s="1697"/>
      <c r="B45" s="1710"/>
      <c r="C45" s="1692"/>
      <c r="D45" s="40" t="s">
        <v>330</v>
      </c>
      <c r="E45" s="36">
        <v>220</v>
      </c>
      <c r="F45" s="944">
        <v>65.031250000000014</v>
      </c>
      <c r="G45" s="267">
        <f>E45*F45/100</f>
        <v>143.06875000000002</v>
      </c>
      <c r="H45" s="36">
        <v>220</v>
      </c>
      <c r="I45" s="161">
        <v>55.899900000000002</v>
      </c>
      <c r="J45" s="54">
        <f>H45*I45/100</f>
        <v>122.97978000000001</v>
      </c>
      <c r="K45" s="36">
        <v>220</v>
      </c>
      <c r="L45" s="161">
        <f>I45</f>
        <v>55.899900000000002</v>
      </c>
      <c r="M45" s="54">
        <f>K45*L45/100</f>
        <v>122.97978000000001</v>
      </c>
      <c r="N45" s="36">
        <v>220</v>
      </c>
      <c r="O45" s="161">
        <f>F45</f>
        <v>65.031250000000014</v>
      </c>
      <c r="P45" s="54">
        <f>N45*O45/100</f>
        <v>143.06875000000002</v>
      </c>
      <c r="Q45" s="36">
        <v>220</v>
      </c>
      <c r="R45" s="161">
        <f>O45</f>
        <v>65.031250000000014</v>
      </c>
      <c r="S45" s="54">
        <f>Q45*R45/100</f>
        <v>143.06875000000002</v>
      </c>
      <c r="T45" s="36">
        <v>220</v>
      </c>
      <c r="U45" s="161">
        <f>R45</f>
        <v>65.031250000000014</v>
      </c>
      <c r="V45" s="54">
        <f>T45*U45/100</f>
        <v>143.06875000000002</v>
      </c>
      <c r="W45" s="36">
        <v>220</v>
      </c>
      <c r="X45" s="161">
        <f>U45</f>
        <v>65.031250000000014</v>
      </c>
      <c r="Y45" s="54">
        <f>W45*X45/100</f>
        <v>143.06875000000002</v>
      </c>
      <c r="Z45" s="36">
        <v>220</v>
      </c>
      <c r="AA45" s="161">
        <f>X45</f>
        <v>65.031250000000014</v>
      </c>
      <c r="AB45" s="54">
        <f>Z45*AA45/100</f>
        <v>143.06875000000002</v>
      </c>
    </row>
    <row r="46" spans="1:28" ht="25.5">
      <c r="A46" s="1697"/>
      <c r="B46" s="1710"/>
      <c r="C46" s="1692"/>
      <c r="D46" s="40" t="s">
        <v>331</v>
      </c>
      <c r="E46" s="36">
        <v>150</v>
      </c>
      <c r="F46" s="945">
        <v>146.9461500000001</v>
      </c>
      <c r="G46" s="267">
        <f>E46*F46/100</f>
        <v>220.41922500000015</v>
      </c>
      <c r="H46" s="36">
        <v>150</v>
      </c>
      <c r="I46" s="161">
        <v>162.38</v>
      </c>
      <c r="J46" s="54">
        <f>H46*I46/100</f>
        <v>243.57</v>
      </c>
      <c r="K46" s="36">
        <v>150</v>
      </c>
      <c r="L46" s="161">
        <v>162.26450000000006</v>
      </c>
      <c r="M46" s="54">
        <f>K46*L46/100</f>
        <v>243.39675000000005</v>
      </c>
      <c r="N46" s="36">
        <v>150</v>
      </c>
      <c r="O46" s="1050">
        <v>147.09915000000009</v>
      </c>
      <c r="P46" s="54">
        <f>N46*O46/100</f>
        <v>220.64872500000016</v>
      </c>
      <c r="Q46" s="36">
        <v>150</v>
      </c>
      <c r="R46" s="1050">
        <f>O46+0.549</f>
        <v>147.6481500000001</v>
      </c>
      <c r="S46" s="54">
        <f>Q46*R46/100</f>
        <v>221.47222500000015</v>
      </c>
      <c r="T46" s="36">
        <v>150</v>
      </c>
      <c r="U46" s="1050">
        <f>R46</f>
        <v>147.6481500000001</v>
      </c>
      <c r="V46" s="54">
        <f>T46*U46/100</f>
        <v>221.47222500000015</v>
      </c>
      <c r="W46" s="36">
        <v>150</v>
      </c>
      <c r="X46" s="1050">
        <f>U46</f>
        <v>147.6481500000001</v>
      </c>
      <c r="Y46" s="54">
        <f>W46*X46/100</f>
        <v>221.47222500000015</v>
      </c>
      <c r="Z46" s="36">
        <v>150</v>
      </c>
      <c r="AA46" s="1050">
        <f>X46</f>
        <v>147.6481500000001</v>
      </c>
      <c r="AB46" s="54">
        <f>Z46*AA46/100</f>
        <v>221.47222500000015</v>
      </c>
    </row>
    <row r="47" spans="1:28">
      <c r="A47" s="57" t="s">
        <v>332</v>
      </c>
      <c r="B47" s="39" t="s">
        <v>363</v>
      </c>
      <c r="C47" s="33" t="s">
        <v>352</v>
      </c>
      <c r="D47" s="33" t="s">
        <v>352</v>
      </c>
      <c r="E47" s="36">
        <v>270</v>
      </c>
      <c r="F47" s="944">
        <v>13.16</v>
      </c>
      <c r="G47" s="267">
        <f>E47*F47/100</f>
        <v>35.531999999999996</v>
      </c>
      <c r="H47" s="36">
        <v>270</v>
      </c>
      <c r="I47" s="161">
        <v>13.223000000000001</v>
      </c>
      <c r="J47" s="54">
        <f>H47*I47/100</f>
        <v>35.702100000000002</v>
      </c>
      <c r="K47" s="36">
        <v>270</v>
      </c>
      <c r="L47" s="947">
        <v>13.161000000000001</v>
      </c>
      <c r="M47" s="54">
        <f>K47*L47/100</f>
        <v>35.534700000000001</v>
      </c>
      <c r="N47" s="36">
        <v>270</v>
      </c>
      <c r="O47" s="947">
        <f>F47</f>
        <v>13.16</v>
      </c>
      <c r="P47" s="54">
        <f>N47*O47/100</f>
        <v>35.531999999999996</v>
      </c>
      <c r="Q47" s="36">
        <v>270</v>
      </c>
      <c r="R47" s="947">
        <f>O47</f>
        <v>13.16</v>
      </c>
      <c r="S47" s="54">
        <f>Q47*R47/100</f>
        <v>35.531999999999996</v>
      </c>
      <c r="T47" s="36">
        <v>270</v>
      </c>
      <c r="U47" s="947">
        <f>R47</f>
        <v>13.16</v>
      </c>
      <c r="V47" s="54">
        <f>T47*U47/100</f>
        <v>35.531999999999996</v>
      </c>
      <c r="W47" s="36">
        <v>270</v>
      </c>
      <c r="X47" s="947">
        <f>U47</f>
        <v>13.16</v>
      </c>
      <c r="Y47" s="54">
        <f>W47*X47/100</f>
        <v>35.531999999999996</v>
      </c>
      <c r="Z47" s="36">
        <v>270</v>
      </c>
      <c r="AA47" s="947">
        <f>X47</f>
        <v>13.16</v>
      </c>
      <c r="AB47" s="54">
        <f>Z47*AA47/100</f>
        <v>35.531999999999996</v>
      </c>
    </row>
    <row r="48" spans="1:28" ht="13.5" thickBot="1">
      <c r="A48" s="1693" t="s">
        <v>364</v>
      </c>
      <c r="B48" s="1694"/>
      <c r="C48" s="1694"/>
      <c r="D48" s="1694"/>
      <c r="E48" s="1694"/>
      <c r="F48" s="1694"/>
      <c r="G48" s="268">
        <f>SUM(G44:G47)</f>
        <v>399.01997500000016</v>
      </c>
      <c r="H48" s="269"/>
      <c r="I48" s="269"/>
      <c r="J48" s="261">
        <f>SUM(J44:J47)</f>
        <v>402.25188000000003</v>
      </c>
      <c r="K48" s="269"/>
      <c r="L48" s="269"/>
      <c r="M48" s="261">
        <f>SUM(M44:M47)</f>
        <v>401.91123000000005</v>
      </c>
      <c r="N48" s="269"/>
      <c r="O48" s="269"/>
      <c r="P48" s="261">
        <f>SUM(P44:P47)</f>
        <v>399.24947500000013</v>
      </c>
      <c r="Q48" s="269"/>
      <c r="R48" s="269"/>
      <c r="S48" s="261">
        <f>SUM(S44:S47)</f>
        <v>400.07297500000016</v>
      </c>
      <c r="T48" s="269"/>
      <c r="U48" s="269"/>
      <c r="V48" s="153">
        <f>SUM(V44:V47)</f>
        <v>400.07297500000016</v>
      </c>
      <c r="W48" s="269"/>
      <c r="X48" s="269"/>
      <c r="Y48" s="153">
        <f>SUM(Y44:Y47)</f>
        <v>400.07297500000016</v>
      </c>
      <c r="Z48" s="269"/>
      <c r="AA48" s="269"/>
      <c r="AB48" s="153">
        <f>SUM(AB44:AB47)</f>
        <v>400.07297500000016</v>
      </c>
    </row>
    <row r="49" spans="1:28">
      <c r="A49" s="45"/>
      <c r="B49" s="46"/>
      <c r="C49" s="45"/>
      <c r="D49" s="44"/>
      <c r="E49" s="44"/>
      <c r="F49" s="44"/>
      <c r="G49" s="44">
        <f>G48+G41</f>
        <v>472.97937500000018</v>
      </c>
      <c r="J49" s="44">
        <f>J48+J41</f>
        <v>473.95848000000001</v>
      </c>
      <c r="M49" s="44">
        <f>M48+M41</f>
        <v>477.91983000000005</v>
      </c>
      <c r="P49" s="44">
        <f>P48+P41</f>
        <v>474.15817500000014</v>
      </c>
      <c r="AB49" s="1007">
        <v>3</v>
      </c>
    </row>
    <row r="50" spans="1:28" ht="25.5" customHeight="1">
      <c r="F50" s="26">
        <f>SUM(F37:F40)</f>
        <v>58.438999999999993</v>
      </c>
      <c r="I50" s="26">
        <f>SUM(I37:I40)</f>
        <v>57.053999999999995</v>
      </c>
      <c r="L50" s="26">
        <f>SUM(L37:L40)</f>
        <v>59.633999999999993</v>
      </c>
      <c r="O50" s="26">
        <f>SUM(O37:O40)</f>
        <v>59.301999999999992</v>
      </c>
      <c r="R50" s="26">
        <f>SUM(R37:R40)</f>
        <v>59.371999999999993</v>
      </c>
    </row>
    <row r="51" spans="1:28" ht="24.95" customHeight="1">
      <c r="A51" s="1260"/>
      <c r="B51" s="1260"/>
      <c r="C51" s="1260"/>
      <c r="D51" s="1260"/>
      <c r="E51" s="1260"/>
      <c r="F51" s="26">
        <f>SUM(F44:F47)</f>
        <v>225.1374000000001</v>
      </c>
      <c r="G51" s="1260"/>
      <c r="I51" s="26">
        <f>SUM(I44:I47)</f>
        <v>231.50290000000001</v>
      </c>
      <c r="L51" s="26">
        <f>SUM(L44:L47)</f>
        <v>231.32540000000006</v>
      </c>
      <c r="O51" s="26">
        <f>SUM(O44:O47)</f>
        <v>225.29040000000012</v>
      </c>
      <c r="R51" s="26">
        <f>SUM(R44:R47)</f>
        <v>225.8394000000001</v>
      </c>
    </row>
    <row r="52" spans="1:28" s="27" customFormat="1" ht="12.95" customHeight="1">
      <c r="A52" s="1261"/>
      <c r="B52" s="1261"/>
      <c r="C52" s="1261"/>
      <c r="D52" s="1261"/>
      <c r="E52" s="1261"/>
      <c r="F52" s="27">
        <f>F50+F51</f>
        <v>283.57640000000009</v>
      </c>
      <c r="G52" s="1261"/>
      <c r="I52" s="27">
        <f>I50+I51</f>
        <v>288.55689999999998</v>
      </c>
      <c r="L52" s="27">
        <f>L50+L51</f>
        <v>290.95940000000007</v>
      </c>
      <c r="O52" s="27">
        <f>O50+O51</f>
        <v>284.59240000000011</v>
      </c>
      <c r="R52" s="27">
        <f>R50+R51</f>
        <v>285.21140000000008</v>
      </c>
      <c r="S52" s="27">
        <f>R52-O52</f>
        <v>0.61899999999997135</v>
      </c>
    </row>
    <row r="53" spans="1:28" s="27" customFormat="1" ht="12.95" customHeight="1">
      <c r="A53" s="1702" t="s">
        <v>389</v>
      </c>
      <c r="B53" s="1702"/>
      <c r="C53" s="1702"/>
      <c r="D53" s="1702"/>
      <c r="E53" s="1702"/>
      <c r="F53" s="1702"/>
      <c r="G53" s="1702"/>
    </row>
    <row r="54" spans="1:28" s="27" customFormat="1" ht="12.95" customHeight="1">
      <c r="A54" s="1706"/>
      <c r="B54" s="1706"/>
      <c r="C54" s="1706"/>
      <c r="D54" s="1706"/>
      <c r="E54" s="1706"/>
      <c r="F54" s="1706"/>
      <c r="G54" s="1706"/>
      <c r="L54" s="1280">
        <f>L47+L40</f>
        <v>16.924000000000003</v>
      </c>
      <c r="O54" s="1280">
        <f>O47+O40</f>
        <v>16.313000000000002</v>
      </c>
      <c r="R54" s="1280">
        <f>R47+R40</f>
        <v>16.313000000000002</v>
      </c>
    </row>
    <row r="55" spans="1:28" ht="18" customHeight="1">
      <c r="A55" s="1705"/>
      <c r="B55" s="1705"/>
      <c r="C55" s="1705"/>
      <c r="D55" s="1705"/>
      <c r="E55" s="1705"/>
      <c r="F55" s="1705"/>
      <c r="G55" s="1705"/>
      <c r="L55" s="27">
        <f>L45+L46</f>
        <v>218.16440000000006</v>
      </c>
    </row>
    <row r="56" spans="1:28">
      <c r="A56" s="1705"/>
      <c r="B56" s="1705"/>
      <c r="C56" s="1705"/>
      <c r="D56" s="1705"/>
      <c r="E56" s="1705"/>
      <c r="F56" s="1705"/>
      <c r="G56" s="1705"/>
    </row>
  </sheetData>
  <mergeCells count="36">
    <mergeCell ref="A3:G3"/>
    <mergeCell ref="A7:A8"/>
    <mergeCell ref="B23:B27"/>
    <mergeCell ref="C23:C25"/>
    <mergeCell ref="C26:C27"/>
    <mergeCell ref="D7:D8"/>
    <mergeCell ref="B18:B22"/>
    <mergeCell ref="B7:B8"/>
    <mergeCell ref="A5:G5"/>
    <mergeCell ref="C7:C8"/>
    <mergeCell ref="C16:C17"/>
    <mergeCell ref="B14:B17"/>
    <mergeCell ref="B12:B13"/>
    <mergeCell ref="A10:A27"/>
    <mergeCell ref="C12:C13"/>
    <mergeCell ref="C14:C15"/>
    <mergeCell ref="A53:G53"/>
    <mergeCell ref="A48:F48"/>
    <mergeCell ref="C31:C33"/>
    <mergeCell ref="B36:B38"/>
    <mergeCell ref="A56:G56"/>
    <mergeCell ref="A54:G54"/>
    <mergeCell ref="A55:G55"/>
    <mergeCell ref="A44:A46"/>
    <mergeCell ref="C44:C46"/>
    <mergeCell ref="B44:B46"/>
    <mergeCell ref="A41:F41"/>
    <mergeCell ref="A39:A40"/>
    <mergeCell ref="C18:C20"/>
    <mergeCell ref="C21:C22"/>
    <mergeCell ref="C34:C35"/>
    <mergeCell ref="A30:F30"/>
    <mergeCell ref="A31:A38"/>
    <mergeCell ref="B31:B35"/>
    <mergeCell ref="C36:C38"/>
    <mergeCell ref="A28:A29"/>
  </mergeCells>
  <phoneticPr fontId="19" type="noConversion"/>
  <printOptions horizontalCentered="1"/>
  <pageMargins left="0.39370078740157483" right="0.27559055118110237" top="0.39370078740157483" bottom="0" header="0" footer="0"/>
  <pageSetup paperSize="9" scale="69" fitToHeight="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6">
    <tabColor indexed="26"/>
    <pageSetUpPr fitToPage="1"/>
  </sheetPr>
  <dimension ref="A1:AE43"/>
  <sheetViews>
    <sheetView topLeftCell="J3" workbookViewId="0">
      <selection activeCell="M41" sqref="M41"/>
    </sheetView>
  </sheetViews>
  <sheetFormatPr defaultColWidth="8" defaultRowHeight="12.75"/>
  <cols>
    <col min="1" max="1" width="5.85546875" style="26" customWidth="1"/>
    <col min="2" max="2" width="19.28515625" style="26" customWidth="1"/>
    <col min="3" max="3" width="12.85546875" style="26" customWidth="1"/>
    <col min="4" max="4" width="12" style="26" customWidth="1"/>
    <col min="5" max="6" width="12.140625" style="26" customWidth="1"/>
    <col min="7" max="7" width="10.85546875" style="26" customWidth="1"/>
    <col min="8" max="8" width="10.5703125" style="26" customWidth="1"/>
    <col min="9" max="9" width="10" style="26" customWidth="1"/>
    <col min="10" max="10" width="11.7109375" style="26" customWidth="1"/>
    <col min="11" max="12" width="12.140625" style="26" customWidth="1"/>
    <col min="13" max="13" width="10.85546875" style="26" customWidth="1"/>
    <col min="14" max="16" width="11.7109375" style="26" customWidth="1"/>
    <col min="17" max="17" width="12.42578125" style="26" customWidth="1"/>
    <col min="18" max="19" width="10.140625" style="26" customWidth="1"/>
    <col min="20" max="20" width="10.28515625" style="26" customWidth="1"/>
    <col min="21" max="21" width="9" style="26" customWidth="1"/>
    <col min="22" max="22" width="10.28515625" style="26" customWidth="1"/>
    <col min="23" max="23" width="10.42578125" style="26" customWidth="1"/>
    <col min="24" max="24" width="9.85546875" style="26" customWidth="1"/>
    <col min="25" max="25" width="10.42578125" style="26" customWidth="1"/>
    <col min="26" max="16384" width="8" style="26"/>
  </cols>
  <sheetData>
    <row r="1" spans="1:31" hidden="1">
      <c r="A1" s="110"/>
    </row>
    <row r="2" spans="1:31" ht="6" hidden="1" customHeight="1"/>
    <row r="3" spans="1:31" ht="27" customHeight="1">
      <c r="A3" s="1715" t="s">
        <v>365</v>
      </c>
      <c r="B3" s="1715"/>
      <c r="C3" s="1715"/>
      <c r="D3" s="1715"/>
      <c r="E3" s="1715"/>
      <c r="F3" s="1715"/>
      <c r="G3" s="1715"/>
      <c r="AE3" s="28" t="s">
        <v>393</v>
      </c>
    </row>
    <row r="4" spans="1:31" ht="25.5" customHeight="1" thickBot="1">
      <c r="A4" s="29"/>
      <c r="B4" s="29"/>
      <c r="C4" s="29"/>
      <c r="D4" s="29"/>
      <c r="E4" s="29"/>
      <c r="F4" s="262" t="s">
        <v>921</v>
      </c>
      <c r="G4" s="262"/>
      <c r="H4" s="262"/>
      <c r="I4" s="262" t="s">
        <v>922</v>
      </c>
      <c r="J4" s="262"/>
      <c r="K4" s="1205"/>
      <c r="L4" s="262" t="s">
        <v>1369</v>
      </c>
      <c r="M4" s="262"/>
      <c r="N4" s="262"/>
      <c r="O4" s="262" t="s">
        <v>1229</v>
      </c>
      <c r="P4" s="262"/>
      <c r="Q4" s="262"/>
      <c r="R4" s="262" t="s">
        <v>926</v>
      </c>
      <c r="S4" s="262"/>
      <c r="T4" s="262"/>
      <c r="U4" s="262">
        <v>2021</v>
      </c>
      <c r="V4" s="262"/>
      <c r="W4" s="262"/>
      <c r="X4" s="262">
        <v>2022</v>
      </c>
      <c r="Y4" s="262"/>
      <c r="AA4" s="262">
        <v>2023</v>
      </c>
      <c r="AB4" s="262"/>
      <c r="AC4" s="262"/>
      <c r="AD4" s="262">
        <v>2024</v>
      </c>
    </row>
    <row r="5" spans="1:31" ht="107.25" customHeight="1">
      <c r="A5" s="1738" t="s">
        <v>252</v>
      </c>
      <c r="B5" s="1719" t="s">
        <v>245</v>
      </c>
      <c r="C5" s="1719" t="s">
        <v>333</v>
      </c>
      <c r="D5" s="1719" t="s">
        <v>345</v>
      </c>
      <c r="E5" s="52" t="s">
        <v>366</v>
      </c>
      <c r="F5" s="52" t="s">
        <v>334</v>
      </c>
      <c r="G5" s="53" t="s">
        <v>348</v>
      </c>
      <c r="H5" s="52" t="s">
        <v>366</v>
      </c>
      <c r="I5" s="52" t="s">
        <v>334</v>
      </c>
      <c r="J5" s="53" t="s">
        <v>348</v>
      </c>
      <c r="K5" s="1204" t="s">
        <v>366</v>
      </c>
      <c r="L5" s="1204" t="s">
        <v>334</v>
      </c>
      <c r="M5" s="53" t="s">
        <v>348</v>
      </c>
      <c r="N5" s="1038" t="s">
        <v>366</v>
      </c>
      <c r="O5" s="1038" t="s">
        <v>334</v>
      </c>
      <c r="P5" s="53" t="s">
        <v>348</v>
      </c>
      <c r="Q5" s="52" t="s">
        <v>366</v>
      </c>
      <c r="R5" s="52" t="s">
        <v>334</v>
      </c>
      <c r="S5" s="53" t="s">
        <v>348</v>
      </c>
      <c r="T5" s="52" t="s">
        <v>366</v>
      </c>
      <c r="U5" s="52" t="s">
        <v>334</v>
      </c>
      <c r="V5" s="53" t="s">
        <v>348</v>
      </c>
      <c r="W5" s="52" t="s">
        <v>366</v>
      </c>
      <c r="X5" s="52" t="s">
        <v>334</v>
      </c>
      <c r="Y5" s="53" t="s">
        <v>348</v>
      </c>
      <c r="Z5" s="52" t="s">
        <v>366</v>
      </c>
      <c r="AA5" s="52" t="s">
        <v>334</v>
      </c>
      <c r="AB5" s="53" t="s">
        <v>348</v>
      </c>
      <c r="AC5" s="52" t="s">
        <v>366</v>
      </c>
      <c r="AD5" s="52" t="s">
        <v>334</v>
      </c>
      <c r="AE5" s="53" t="s">
        <v>348</v>
      </c>
    </row>
    <row r="6" spans="1:31" ht="25.5">
      <c r="A6" s="1707"/>
      <c r="B6" s="1708"/>
      <c r="C6" s="1708"/>
      <c r="D6" s="1708"/>
      <c r="E6" s="31" t="s">
        <v>367</v>
      </c>
      <c r="F6" s="31" t="s">
        <v>368</v>
      </c>
      <c r="G6" s="75" t="s">
        <v>350</v>
      </c>
      <c r="H6" s="31" t="s">
        <v>367</v>
      </c>
      <c r="I6" s="31" t="s">
        <v>368</v>
      </c>
      <c r="J6" s="75" t="s">
        <v>350</v>
      </c>
      <c r="K6" s="1203" t="s">
        <v>367</v>
      </c>
      <c r="L6" s="1203" t="s">
        <v>368</v>
      </c>
      <c r="M6" s="75" t="s">
        <v>350</v>
      </c>
      <c r="N6" s="1036" t="s">
        <v>367</v>
      </c>
      <c r="O6" s="1036" t="s">
        <v>368</v>
      </c>
      <c r="P6" s="75" t="s">
        <v>350</v>
      </c>
      <c r="Q6" s="31" t="s">
        <v>367</v>
      </c>
      <c r="R6" s="31" t="s">
        <v>368</v>
      </c>
      <c r="S6" s="75" t="s">
        <v>350</v>
      </c>
      <c r="T6" s="31" t="s">
        <v>367</v>
      </c>
      <c r="U6" s="31" t="s">
        <v>368</v>
      </c>
      <c r="V6" s="75" t="s">
        <v>350</v>
      </c>
      <c r="W6" s="31" t="s">
        <v>367</v>
      </c>
      <c r="X6" s="31" t="s">
        <v>368</v>
      </c>
      <c r="Y6" s="75" t="s">
        <v>350</v>
      </c>
      <c r="Z6" s="31" t="s">
        <v>367</v>
      </c>
      <c r="AA6" s="31" t="s">
        <v>368</v>
      </c>
      <c r="AB6" s="75" t="s">
        <v>350</v>
      </c>
      <c r="AC6" s="31" t="s">
        <v>367</v>
      </c>
      <c r="AD6" s="31" t="s">
        <v>368</v>
      </c>
      <c r="AE6" s="75" t="s">
        <v>350</v>
      </c>
    </row>
    <row r="7" spans="1:31" ht="13.5" thickBot="1">
      <c r="A7" s="62">
        <v>1</v>
      </c>
      <c r="B7" s="63">
        <f>A7+1</f>
        <v>2</v>
      </c>
      <c r="C7" s="63">
        <f>B7+1</f>
        <v>3</v>
      </c>
      <c r="D7" s="63">
        <f t="shared" ref="D7:AE7" si="0">C7+1</f>
        <v>4</v>
      </c>
      <c r="E7" s="63">
        <f t="shared" si="0"/>
        <v>5</v>
      </c>
      <c r="F7" s="63">
        <f t="shared" si="0"/>
        <v>6</v>
      </c>
      <c r="G7" s="63">
        <f t="shared" si="0"/>
        <v>7</v>
      </c>
      <c r="H7" s="63">
        <f t="shared" si="0"/>
        <v>8</v>
      </c>
      <c r="I7" s="63">
        <f t="shared" si="0"/>
        <v>9</v>
      </c>
      <c r="J7" s="63">
        <f t="shared" si="0"/>
        <v>10</v>
      </c>
      <c r="K7" s="63">
        <f t="shared" si="0"/>
        <v>11</v>
      </c>
      <c r="L7" s="63">
        <f t="shared" si="0"/>
        <v>12</v>
      </c>
      <c r="M7" s="63">
        <f t="shared" si="0"/>
        <v>13</v>
      </c>
      <c r="N7" s="63">
        <f t="shared" si="0"/>
        <v>14</v>
      </c>
      <c r="O7" s="63">
        <f t="shared" si="0"/>
        <v>15</v>
      </c>
      <c r="P7" s="63">
        <f t="shared" si="0"/>
        <v>16</v>
      </c>
      <c r="Q7" s="63">
        <f t="shared" si="0"/>
        <v>17</v>
      </c>
      <c r="R7" s="63">
        <f t="shared" si="0"/>
        <v>18</v>
      </c>
      <c r="S7" s="63">
        <f t="shared" si="0"/>
        <v>19</v>
      </c>
      <c r="T7" s="63">
        <f t="shared" si="0"/>
        <v>20</v>
      </c>
      <c r="U7" s="63">
        <f t="shared" si="0"/>
        <v>21</v>
      </c>
      <c r="V7" s="63">
        <f t="shared" si="0"/>
        <v>22</v>
      </c>
      <c r="W7" s="63">
        <f t="shared" si="0"/>
        <v>23</v>
      </c>
      <c r="X7" s="63">
        <f t="shared" si="0"/>
        <v>24</v>
      </c>
      <c r="Y7" s="63">
        <f t="shared" si="0"/>
        <v>25</v>
      </c>
      <c r="Z7" s="63">
        <f t="shared" si="0"/>
        <v>26</v>
      </c>
      <c r="AA7" s="63">
        <f t="shared" si="0"/>
        <v>27</v>
      </c>
      <c r="AB7" s="63">
        <f t="shared" si="0"/>
        <v>28</v>
      </c>
      <c r="AC7" s="63">
        <f t="shared" si="0"/>
        <v>29</v>
      </c>
      <c r="AD7" s="63">
        <f t="shared" si="0"/>
        <v>30</v>
      </c>
      <c r="AE7" s="63">
        <f t="shared" si="0"/>
        <v>31</v>
      </c>
    </row>
    <row r="8" spans="1:31">
      <c r="A8" s="1728">
        <v>1</v>
      </c>
      <c r="B8" s="1724" t="s">
        <v>369</v>
      </c>
      <c r="C8" s="1724" t="s">
        <v>370</v>
      </c>
      <c r="D8" s="32">
        <v>220</v>
      </c>
      <c r="E8" s="47">
        <v>210</v>
      </c>
      <c r="F8" s="164"/>
      <c r="G8" s="77">
        <f>E8*F8</f>
        <v>0</v>
      </c>
      <c r="H8" s="47">
        <v>210</v>
      </c>
      <c r="I8" s="164"/>
      <c r="J8" s="77">
        <f>H8*I8</f>
        <v>0</v>
      </c>
      <c r="K8" s="47">
        <v>210</v>
      </c>
      <c r="L8" s="164"/>
      <c r="M8" s="77">
        <f>K8*L8</f>
        <v>0</v>
      </c>
      <c r="N8" s="47">
        <v>210</v>
      </c>
      <c r="O8" s="164"/>
      <c r="P8" s="77">
        <f>N8*O8</f>
        <v>0</v>
      </c>
      <c r="Q8" s="47">
        <v>210</v>
      </c>
      <c r="R8" s="164"/>
      <c r="S8" s="77">
        <f>Q8*R8</f>
        <v>0</v>
      </c>
      <c r="T8" s="47">
        <v>210</v>
      </c>
      <c r="U8" s="164"/>
      <c r="V8" s="77">
        <f>T8*U8</f>
        <v>0</v>
      </c>
      <c r="W8" s="47">
        <v>210</v>
      </c>
      <c r="X8" s="164"/>
      <c r="Y8" s="77">
        <f>W8*X8</f>
        <v>0</v>
      </c>
      <c r="Z8" s="47">
        <v>210</v>
      </c>
      <c r="AA8" s="164"/>
      <c r="AB8" s="77">
        <f>Z8*AA8</f>
        <v>0</v>
      </c>
      <c r="AC8" s="47">
        <v>210</v>
      </c>
      <c r="AD8" s="164"/>
      <c r="AE8" s="77">
        <f>AC8*AD8</f>
        <v>0</v>
      </c>
    </row>
    <row r="9" spans="1:31">
      <c r="A9" s="1728"/>
      <c r="B9" s="1724"/>
      <c r="C9" s="1724"/>
      <c r="D9" s="31" t="s">
        <v>371</v>
      </c>
      <c r="E9" s="34">
        <v>105</v>
      </c>
      <c r="F9" s="165"/>
      <c r="G9" s="75">
        <f>E9*F9</f>
        <v>0</v>
      </c>
      <c r="H9" s="34">
        <v>105</v>
      </c>
      <c r="I9" s="165"/>
      <c r="J9" s="75">
        <f>H9*I9</f>
        <v>0</v>
      </c>
      <c r="K9" s="1202">
        <v>105</v>
      </c>
      <c r="L9" s="165"/>
      <c r="M9" s="75">
        <f>K9*L9</f>
        <v>0</v>
      </c>
      <c r="N9" s="1037">
        <v>105</v>
      </c>
      <c r="O9" s="165"/>
      <c r="P9" s="75">
        <f>N9*O9</f>
        <v>0</v>
      </c>
      <c r="Q9" s="34">
        <v>105</v>
      </c>
      <c r="R9" s="165"/>
      <c r="S9" s="75">
        <f>Q9*R9</f>
        <v>0</v>
      </c>
      <c r="T9" s="34">
        <v>105</v>
      </c>
      <c r="U9" s="165"/>
      <c r="V9" s="75">
        <f>T9*U9</f>
        <v>0</v>
      </c>
      <c r="W9" s="34">
        <v>105</v>
      </c>
      <c r="X9" s="165"/>
      <c r="Y9" s="75">
        <f>W9*X9</f>
        <v>0</v>
      </c>
      <c r="Z9" s="34">
        <v>105</v>
      </c>
      <c r="AA9" s="165"/>
      <c r="AB9" s="75">
        <f>Z9*AA9</f>
        <v>0</v>
      </c>
      <c r="AC9" s="34">
        <v>105</v>
      </c>
      <c r="AD9" s="165"/>
      <c r="AE9" s="75">
        <f>AC9*AD9</f>
        <v>0</v>
      </c>
    </row>
    <row r="10" spans="1:31">
      <c r="A10" s="1729"/>
      <c r="B10" s="1708"/>
      <c r="C10" s="1708"/>
      <c r="D10" s="31">
        <v>35</v>
      </c>
      <c r="E10" s="34">
        <v>75</v>
      </c>
      <c r="F10" s="165"/>
      <c r="G10" s="75">
        <f t="shared" ref="G10:G34" si="1">E10*F10</f>
        <v>0</v>
      </c>
      <c r="H10" s="34">
        <v>75</v>
      </c>
      <c r="I10" s="165"/>
      <c r="J10" s="75">
        <f t="shared" ref="J10:J34" si="2">H10*I10</f>
        <v>0</v>
      </c>
      <c r="K10" s="1202">
        <v>75</v>
      </c>
      <c r="L10" s="165"/>
      <c r="M10" s="75">
        <f t="shared" ref="M10:M34" si="3">K10*L10</f>
        <v>0</v>
      </c>
      <c r="N10" s="1037">
        <v>75</v>
      </c>
      <c r="O10" s="165"/>
      <c r="P10" s="75">
        <f t="shared" ref="P10:P34" si="4">N10*O10</f>
        <v>0</v>
      </c>
      <c r="Q10" s="34">
        <v>75</v>
      </c>
      <c r="R10" s="165"/>
      <c r="S10" s="75">
        <f t="shared" ref="S10:S34" si="5">Q10*R10</f>
        <v>0</v>
      </c>
      <c r="T10" s="34">
        <v>75</v>
      </c>
      <c r="U10" s="165"/>
      <c r="V10" s="75">
        <f t="shared" ref="V10:V34" si="6">T10*U10</f>
        <v>0</v>
      </c>
      <c r="W10" s="34">
        <v>75</v>
      </c>
      <c r="X10" s="165"/>
      <c r="Y10" s="75">
        <f t="shared" ref="Y10:Y34" si="7">W10*X10</f>
        <v>0</v>
      </c>
      <c r="Z10" s="34">
        <v>75</v>
      </c>
      <c r="AA10" s="165"/>
      <c r="AB10" s="75">
        <f t="shared" ref="AB10:AB34" si="8">Z10*AA10</f>
        <v>0</v>
      </c>
      <c r="AC10" s="34">
        <v>75</v>
      </c>
      <c r="AD10" s="165"/>
      <c r="AE10" s="75">
        <f t="shared" ref="AE10:AE34" si="9">AC10*AD10</f>
        <v>0</v>
      </c>
    </row>
    <row r="11" spans="1:31" ht="17.25" customHeight="1">
      <c r="A11" s="1714">
        <v>2</v>
      </c>
      <c r="B11" s="1723" t="s">
        <v>372</v>
      </c>
      <c r="C11" s="1723" t="s">
        <v>373</v>
      </c>
      <c r="D11" s="31">
        <v>220</v>
      </c>
      <c r="E11" s="34">
        <v>14</v>
      </c>
      <c r="F11" s="165"/>
      <c r="G11" s="75">
        <f t="shared" si="1"/>
        <v>0</v>
      </c>
      <c r="H11" s="34">
        <v>14</v>
      </c>
      <c r="I11" s="165"/>
      <c r="J11" s="75">
        <f t="shared" si="2"/>
        <v>0</v>
      </c>
      <c r="K11" s="1202">
        <v>14</v>
      </c>
      <c r="L11" s="165"/>
      <c r="M11" s="75">
        <f t="shared" si="3"/>
        <v>0</v>
      </c>
      <c r="N11" s="1037">
        <v>14</v>
      </c>
      <c r="O11" s="165"/>
      <c r="P11" s="75">
        <f t="shared" si="4"/>
        <v>0</v>
      </c>
      <c r="Q11" s="34">
        <v>14</v>
      </c>
      <c r="R11" s="165"/>
      <c r="S11" s="75">
        <f t="shared" si="5"/>
        <v>0</v>
      </c>
      <c r="T11" s="34">
        <v>14</v>
      </c>
      <c r="U11" s="165"/>
      <c r="V11" s="75">
        <f t="shared" si="6"/>
        <v>0</v>
      </c>
      <c r="W11" s="34">
        <v>14</v>
      </c>
      <c r="X11" s="165"/>
      <c r="Y11" s="75">
        <f t="shared" si="7"/>
        <v>0</v>
      </c>
      <c r="Z11" s="34">
        <v>14</v>
      </c>
      <c r="AA11" s="165"/>
      <c r="AB11" s="75">
        <f t="shared" si="8"/>
        <v>0</v>
      </c>
      <c r="AC11" s="34">
        <v>14</v>
      </c>
      <c r="AD11" s="165"/>
      <c r="AE11" s="75">
        <f t="shared" si="9"/>
        <v>0</v>
      </c>
    </row>
    <row r="12" spans="1:31" ht="20.25" customHeight="1">
      <c r="A12" s="1728"/>
      <c r="B12" s="1724"/>
      <c r="C12" s="1724"/>
      <c r="D12" s="31" t="s">
        <v>371</v>
      </c>
      <c r="E12" s="34">
        <v>7.8</v>
      </c>
      <c r="F12" s="165"/>
      <c r="G12" s="75">
        <f t="shared" si="1"/>
        <v>0</v>
      </c>
      <c r="H12" s="34">
        <v>7.8</v>
      </c>
      <c r="I12" s="165"/>
      <c r="J12" s="75">
        <f t="shared" si="2"/>
        <v>0</v>
      </c>
      <c r="K12" s="1202">
        <v>7.8</v>
      </c>
      <c r="L12" s="165"/>
      <c r="M12" s="75">
        <f t="shared" si="3"/>
        <v>0</v>
      </c>
      <c r="N12" s="1037">
        <v>7.8</v>
      </c>
      <c r="O12" s="165"/>
      <c r="P12" s="75">
        <f t="shared" si="4"/>
        <v>0</v>
      </c>
      <c r="Q12" s="34">
        <v>7.8</v>
      </c>
      <c r="R12" s="165"/>
      <c r="S12" s="75">
        <f t="shared" si="5"/>
        <v>0</v>
      </c>
      <c r="T12" s="34">
        <v>7.8</v>
      </c>
      <c r="U12" s="165"/>
      <c r="V12" s="75">
        <f t="shared" si="6"/>
        <v>0</v>
      </c>
      <c r="W12" s="34">
        <v>7.8</v>
      </c>
      <c r="X12" s="165"/>
      <c r="Y12" s="75">
        <f t="shared" si="7"/>
        <v>0</v>
      </c>
      <c r="Z12" s="34">
        <v>7.8</v>
      </c>
      <c r="AA12" s="165"/>
      <c r="AB12" s="75">
        <f t="shared" si="8"/>
        <v>0</v>
      </c>
      <c r="AC12" s="34">
        <v>7.8</v>
      </c>
      <c r="AD12" s="165"/>
      <c r="AE12" s="75">
        <f t="shared" si="9"/>
        <v>0</v>
      </c>
    </row>
    <row r="13" spans="1:31" ht="17.25" customHeight="1">
      <c r="A13" s="1728"/>
      <c r="B13" s="1724"/>
      <c r="C13" s="1724"/>
      <c r="D13" s="31">
        <v>35</v>
      </c>
      <c r="E13" s="34">
        <v>2.1</v>
      </c>
      <c r="F13" s="165"/>
      <c r="G13" s="75">
        <f t="shared" si="1"/>
        <v>0</v>
      </c>
      <c r="H13" s="34">
        <v>2.1</v>
      </c>
      <c r="I13" s="165"/>
      <c r="J13" s="75">
        <f t="shared" si="2"/>
        <v>0</v>
      </c>
      <c r="K13" s="1202">
        <v>2.1</v>
      </c>
      <c r="L13" s="165"/>
      <c r="M13" s="75">
        <f t="shared" si="3"/>
        <v>0</v>
      </c>
      <c r="N13" s="1037">
        <v>2.1</v>
      </c>
      <c r="O13" s="165"/>
      <c r="P13" s="75">
        <f t="shared" si="4"/>
        <v>0</v>
      </c>
      <c r="Q13" s="34">
        <v>2.1</v>
      </c>
      <c r="R13" s="165"/>
      <c r="S13" s="75">
        <f t="shared" si="5"/>
        <v>0</v>
      </c>
      <c r="T13" s="34">
        <v>2.1</v>
      </c>
      <c r="U13" s="165"/>
      <c r="V13" s="75">
        <f t="shared" si="6"/>
        <v>0</v>
      </c>
      <c r="W13" s="34">
        <v>2.1</v>
      </c>
      <c r="X13" s="165"/>
      <c r="Y13" s="75">
        <f t="shared" si="7"/>
        <v>0</v>
      </c>
      <c r="Z13" s="34">
        <v>2.1</v>
      </c>
      <c r="AA13" s="165"/>
      <c r="AB13" s="75">
        <f t="shared" si="8"/>
        <v>0</v>
      </c>
      <c r="AC13" s="34">
        <v>2.1</v>
      </c>
      <c r="AD13" s="165"/>
      <c r="AE13" s="75">
        <f t="shared" si="9"/>
        <v>0</v>
      </c>
    </row>
    <row r="14" spans="1:31" ht="19.5" customHeight="1">
      <c r="A14" s="1729"/>
      <c r="B14" s="1708"/>
      <c r="C14" s="1708"/>
      <c r="D14" s="76" t="s">
        <v>374</v>
      </c>
      <c r="E14" s="48">
        <v>1</v>
      </c>
      <c r="F14" s="165"/>
      <c r="G14" s="75">
        <f t="shared" si="1"/>
        <v>0</v>
      </c>
      <c r="H14" s="48">
        <v>1</v>
      </c>
      <c r="I14" s="165"/>
      <c r="J14" s="75">
        <f t="shared" si="2"/>
        <v>0</v>
      </c>
      <c r="K14" s="48">
        <v>1</v>
      </c>
      <c r="L14" s="165"/>
      <c r="M14" s="75">
        <f t="shared" si="3"/>
        <v>0</v>
      </c>
      <c r="N14" s="48">
        <v>1</v>
      </c>
      <c r="O14" s="165"/>
      <c r="P14" s="75">
        <f t="shared" si="4"/>
        <v>0</v>
      </c>
      <c r="Q14" s="48">
        <v>1</v>
      </c>
      <c r="R14" s="165"/>
      <c r="S14" s="75">
        <f t="shared" si="5"/>
        <v>0</v>
      </c>
      <c r="T14" s="48">
        <v>1</v>
      </c>
      <c r="U14" s="165"/>
      <c r="V14" s="75">
        <f t="shared" si="6"/>
        <v>0</v>
      </c>
      <c r="W14" s="48">
        <v>1</v>
      </c>
      <c r="X14" s="165"/>
      <c r="Y14" s="75">
        <f t="shared" si="7"/>
        <v>0</v>
      </c>
      <c r="Z14" s="48">
        <v>1</v>
      </c>
      <c r="AA14" s="165"/>
      <c r="AB14" s="75">
        <f t="shared" si="8"/>
        <v>0</v>
      </c>
      <c r="AC14" s="48">
        <v>1</v>
      </c>
      <c r="AD14" s="165"/>
      <c r="AE14" s="75">
        <f t="shared" si="9"/>
        <v>0</v>
      </c>
    </row>
    <row r="15" spans="1:31">
      <c r="A15" s="1714">
        <v>3</v>
      </c>
      <c r="B15" s="1723" t="s">
        <v>375</v>
      </c>
      <c r="C15" s="1723" t="s">
        <v>341</v>
      </c>
      <c r="D15" s="31">
        <v>220</v>
      </c>
      <c r="E15" s="34">
        <v>43</v>
      </c>
      <c r="F15" s="165"/>
      <c r="G15" s="75">
        <f t="shared" si="1"/>
        <v>0</v>
      </c>
      <c r="H15" s="34">
        <v>43</v>
      </c>
      <c r="I15" s="165"/>
      <c r="J15" s="75">
        <f t="shared" si="2"/>
        <v>0</v>
      </c>
      <c r="K15" s="1202">
        <v>43</v>
      </c>
      <c r="L15" s="165"/>
      <c r="M15" s="75">
        <f t="shared" si="3"/>
        <v>0</v>
      </c>
      <c r="N15" s="1037">
        <v>43</v>
      </c>
      <c r="O15" s="165"/>
      <c r="P15" s="75">
        <f t="shared" si="4"/>
        <v>0</v>
      </c>
      <c r="Q15" s="34">
        <v>43</v>
      </c>
      <c r="R15" s="165"/>
      <c r="S15" s="75">
        <f t="shared" si="5"/>
        <v>0</v>
      </c>
      <c r="T15" s="34">
        <v>43</v>
      </c>
      <c r="U15" s="165"/>
      <c r="V15" s="75">
        <f t="shared" si="6"/>
        <v>0</v>
      </c>
      <c r="W15" s="34">
        <v>43</v>
      </c>
      <c r="X15" s="165"/>
      <c r="Y15" s="75">
        <f t="shared" si="7"/>
        <v>0</v>
      </c>
      <c r="Z15" s="34">
        <v>43</v>
      </c>
      <c r="AA15" s="165"/>
      <c r="AB15" s="75">
        <f t="shared" si="8"/>
        <v>0</v>
      </c>
      <c r="AC15" s="34">
        <v>43</v>
      </c>
      <c r="AD15" s="165"/>
      <c r="AE15" s="75">
        <f t="shared" si="9"/>
        <v>0</v>
      </c>
    </row>
    <row r="16" spans="1:31">
      <c r="A16" s="1728"/>
      <c r="B16" s="1724"/>
      <c r="C16" s="1724"/>
      <c r="D16" s="31" t="s">
        <v>371</v>
      </c>
      <c r="E16" s="34">
        <v>26</v>
      </c>
      <c r="F16" s="165"/>
      <c r="G16" s="75">
        <f t="shared" si="1"/>
        <v>0</v>
      </c>
      <c r="H16" s="34">
        <v>26</v>
      </c>
      <c r="I16" s="165"/>
      <c r="J16" s="75">
        <f t="shared" si="2"/>
        <v>0</v>
      </c>
      <c r="K16" s="1202">
        <v>26</v>
      </c>
      <c r="L16" s="165"/>
      <c r="M16" s="75">
        <f t="shared" si="3"/>
        <v>0</v>
      </c>
      <c r="N16" s="1037">
        <v>26</v>
      </c>
      <c r="O16" s="165"/>
      <c r="P16" s="75">
        <f t="shared" si="4"/>
        <v>0</v>
      </c>
      <c r="Q16" s="34">
        <v>26</v>
      </c>
      <c r="R16" s="165"/>
      <c r="S16" s="75">
        <f t="shared" si="5"/>
        <v>0</v>
      </c>
      <c r="T16" s="34">
        <v>26</v>
      </c>
      <c r="U16" s="165"/>
      <c r="V16" s="75">
        <f t="shared" si="6"/>
        <v>0</v>
      </c>
      <c r="W16" s="34">
        <v>26</v>
      </c>
      <c r="X16" s="165"/>
      <c r="Y16" s="75">
        <f t="shared" si="7"/>
        <v>0</v>
      </c>
      <c r="Z16" s="34">
        <v>26</v>
      </c>
      <c r="AA16" s="165"/>
      <c r="AB16" s="75">
        <f t="shared" si="8"/>
        <v>0</v>
      </c>
      <c r="AC16" s="34">
        <v>26</v>
      </c>
      <c r="AD16" s="165"/>
      <c r="AE16" s="75">
        <f t="shared" si="9"/>
        <v>0</v>
      </c>
    </row>
    <row r="17" spans="1:31">
      <c r="A17" s="1728"/>
      <c r="B17" s="1724"/>
      <c r="C17" s="1724"/>
      <c r="D17" s="31">
        <v>35</v>
      </c>
      <c r="E17" s="34">
        <v>11</v>
      </c>
      <c r="F17" s="165"/>
      <c r="G17" s="75">
        <f t="shared" si="1"/>
        <v>0</v>
      </c>
      <c r="H17" s="34">
        <v>11</v>
      </c>
      <c r="I17" s="165"/>
      <c r="J17" s="75">
        <f t="shared" si="2"/>
        <v>0</v>
      </c>
      <c r="K17" s="1202">
        <v>11</v>
      </c>
      <c r="L17" s="165"/>
      <c r="M17" s="75">
        <f t="shared" si="3"/>
        <v>0</v>
      </c>
      <c r="N17" s="1037">
        <v>11</v>
      </c>
      <c r="O17" s="165"/>
      <c r="P17" s="75">
        <f t="shared" si="4"/>
        <v>0</v>
      </c>
      <c r="Q17" s="34">
        <v>11</v>
      </c>
      <c r="R17" s="165"/>
      <c r="S17" s="75">
        <f t="shared" si="5"/>
        <v>0</v>
      </c>
      <c r="T17" s="34">
        <v>11</v>
      </c>
      <c r="U17" s="165"/>
      <c r="V17" s="75">
        <f t="shared" si="6"/>
        <v>0</v>
      </c>
      <c r="W17" s="34">
        <v>11</v>
      </c>
      <c r="X17" s="165"/>
      <c r="Y17" s="75">
        <f t="shared" si="7"/>
        <v>0</v>
      </c>
      <c r="Z17" s="34">
        <v>11</v>
      </c>
      <c r="AA17" s="165"/>
      <c r="AB17" s="75">
        <f t="shared" si="8"/>
        <v>0</v>
      </c>
      <c r="AC17" s="34">
        <v>11</v>
      </c>
      <c r="AD17" s="165"/>
      <c r="AE17" s="75">
        <f t="shared" si="9"/>
        <v>0</v>
      </c>
    </row>
    <row r="18" spans="1:31">
      <c r="A18" s="1729"/>
      <c r="B18" s="1708"/>
      <c r="C18" s="1708"/>
      <c r="D18" s="76" t="s">
        <v>374</v>
      </c>
      <c r="E18" s="34">
        <v>5.5</v>
      </c>
      <c r="F18" s="165"/>
      <c r="G18" s="75">
        <f t="shared" si="1"/>
        <v>0</v>
      </c>
      <c r="H18" s="34">
        <v>5.5</v>
      </c>
      <c r="I18" s="165"/>
      <c r="J18" s="75">
        <f t="shared" si="2"/>
        <v>0</v>
      </c>
      <c r="K18" s="1202">
        <v>5.5</v>
      </c>
      <c r="L18" s="165"/>
      <c r="M18" s="75">
        <f t="shared" si="3"/>
        <v>0</v>
      </c>
      <c r="N18" s="1037">
        <v>5.5</v>
      </c>
      <c r="O18" s="165"/>
      <c r="P18" s="75">
        <f t="shared" si="4"/>
        <v>0</v>
      </c>
      <c r="Q18" s="34">
        <v>5.5</v>
      </c>
      <c r="R18" s="165"/>
      <c r="S18" s="75">
        <f t="shared" si="5"/>
        <v>0</v>
      </c>
      <c r="T18" s="34">
        <v>5.5</v>
      </c>
      <c r="U18" s="165"/>
      <c r="V18" s="75">
        <f t="shared" si="6"/>
        <v>0</v>
      </c>
      <c r="W18" s="34">
        <v>5.5</v>
      </c>
      <c r="X18" s="165"/>
      <c r="Y18" s="75">
        <f t="shared" si="7"/>
        <v>0</v>
      </c>
      <c r="Z18" s="34">
        <v>5.5</v>
      </c>
      <c r="AA18" s="165"/>
      <c r="AB18" s="75">
        <f t="shared" si="8"/>
        <v>0</v>
      </c>
      <c r="AC18" s="34">
        <v>5.5</v>
      </c>
      <c r="AD18" s="165"/>
      <c r="AE18" s="75">
        <f t="shared" si="9"/>
        <v>0</v>
      </c>
    </row>
    <row r="19" spans="1:31" ht="11.25" customHeight="1">
      <c r="A19" s="1714">
        <v>4</v>
      </c>
      <c r="B19" s="1723" t="s">
        <v>340</v>
      </c>
      <c r="C19" s="1723" t="s">
        <v>280</v>
      </c>
      <c r="D19" s="31">
        <v>220</v>
      </c>
      <c r="E19" s="31">
        <v>23</v>
      </c>
      <c r="F19" s="165"/>
      <c r="G19" s="75">
        <f t="shared" si="1"/>
        <v>0</v>
      </c>
      <c r="H19" s="31">
        <v>23</v>
      </c>
      <c r="I19" s="165"/>
      <c r="J19" s="75">
        <f t="shared" si="2"/>
        <v>0</v>
      </c>
      <c r="K19" s="1203">
        <v>23</v>
      </c>
      <c r="L19" s="165"/>
      <c r="M19" s="75">
        <f t="shared" si="3"/>
        <v>0</v>
      </c>
      <c r="N19" s="1036">
        <v>23</v>
      </c>
      <c r="O19" s="165"/>
      <c r="P19" s="75">
        <f t="shared" si="4"/>
        <v>0</v>
      </c>
      <c r="Q19" s="31">
        <v>23</v>
      </c>
      <c r="R19" s="165"/>
      <c r="S19" s="75">
        <f t="shared" si="5"/>
        <v>0</v>
      </c>
      <c r="T19" s="31">
        <v>23</v>
      </c>
      <c r="U19" s="165"/>
      <c r="V19" s="75">
        <f t="shared" si="6"/>
        <v>0</v>
      </c>
      <c r="W19" s="31">
        <v>23</v>
      </c>
      <c r="X19" s="165"/>
      <c r="Y19" s="75">
        <f t="shared" si="7"/>
        <v>0</v>
      </c>
      <c r="Z19" s="31">
        <v>23</v>
      </c>
      <c r="AA19" s="165"/>
      <c r="AB19" s="75">
        <f t="shared" si="8"/>
        <v>0</v>
      </c>
      <c r="AC19" s="31">
        <v>23</v>
      </c>
      <c r="AD19" s="165"/>
      <c r="AE19" s="75">
        <f t="shared" si="9"/>
        <v>0</v>
      </c>
    </row>
    <row r="20" spans="1:31">
      <c r="A20" s="1728"/>
      <c r="B20" s="1724"/>
      <c r="C20" s="1724"/>
      <c r="D20" s="31" t="s">
        <v>371</v>
      </c>
      <c r="E20" s="31">
        <v>14</v>
      </c>
      <c r="F20" s="165"/>
      <c r="G20" s="75">
        <f t="shared" si="1"/>
        <v>0</v>
      </c>
      <c r="H20" s="31">
        <v>14</v>
      </c>
      <c r="I20" s="165"/>
      <c r="J20" s="75">
        <f t="shared" si="2"/>
        <v>0</v>
      </c>
      <c r="K20" s="1203">
        <v>14</v>
      </c>
      <c r="L20" s="165"/>
      <c r="M20" s="75">
        <f t="shared" si="3"/>
        <v>0</v>
      </c>
      <c r="N20" s="1036">
        <v>14</v>
      </c>
      <c r="O20" s="165"/>
      <c r="P20" s="75">
        <f t="shared" si="4"/>
        <v>0</v>
      </c>
      <c r="Q20" s="31">
        <v>14</v>
      </c>
      <c r="R20" s="165"/>
      <c r="S20" s="75">
        <f t="shared" si="5"/>
        <v>0</v>
      </c>
      <c r="T20" s="31">
        <v>14</v>
      </c>
      <c r="U20" s="165"/>
      <c r="V20" s="75">
        <f t="shared" si="6"/>
        <v>0</v>
      </c>
      <c r="W20" s="31">
        <v>14</v>
      </c>
      <c r="X20" s="165"/>
      <c r="Y20" s="75">
        <f t="shared" si="7"/>
        <v>0</v>
      </c>
      <c r="Z20" s="31">
        <v>14</v>
      </c>
      <c r="AA20" s="165"/>
      <c r="AB20" s="75">
        <f t="shared" si="8"/>
        <v>0</v>
      </c>
      <c r="AC20" s="31">
        <v>14</v>
      </c>
      <c r="AD20" s="165"/>
      <c r="AE20" s="75">
        <f t="shared" si="9"/>
        <v>0</v>
      </c>
    </row>
    <row r="21" spans="1:31">
      <c r="A21" s="1728"/>
      <c r="B21" s="1724"/>
      <c r="C21" s="1724"/>
      <c r="D21" s="31">
        <v>35</v>
      </c>
      <c r="E21" s="31">
        <v>6.4</v>
      </c>
      <c r="F21" s="165"/>
      <c r="G21" s="75">
        <f t="shared" si="1"/>
        <v>0</v>
      </c>
      <c r="H21" s="31">
        <v>6.4</v>
      </c>
      <c r="I21" s="165"/>
      <c r="J21" s="75">
        <f t="shared" si="2"/>
        <v>0</v>
      </c>
      <c r="K21" s="1203">
        <v>6.4</v>
      </c>
      <c r="L21" s="165"/>
      <c r="M21" s="75">
        <f t="shared" si="3"/>
        <v>0</v>
      </c>
      <c r="N21" s="1036">
        <v>6.4</v>
      </c>
      <c r="O21" s="165"/>
      <c r="P21" s="75">
        <f t="shared" si="4"/>
        <v>0</v>
      </c>
      <c r="Q21" s="31">
        <v>6.4</v>
      </c>
      <c r="R21" s="165"/>
      <c r="S21" s="75">
        <f t="shared" si="5"/>
        <v>0</v>
      </c>
      <c r="T21" s="31">
        <v>6.4</v>
      </c>
      <c r="U21" s="165"/>
      <c r="V21" s="75">
        <f t="shared" si="6"/>
        <v>0</v>
      </c>
      <c r="W21" s="31">
        <v>6.4</v>
      </c>
      <c r="X21" s="165"/>
      <c r="Y21" s="75">
        <f t="shared" si="7"/>
        <v>0</v>
      </c>
      <c r="Z21" s="31">
        <v>6.4</v>
      </c>
      <c r="AA21" s="165"/>
      <c r="AB21" s="75">
        <f t="shared" si="8"/>
        <v>0</v>
      </c>
      <c r="AC21" s="31">
        <v>6.4</v>
      </c>
      <c r="AD21" s="165"/>
      <c r="AE21" s="75">
        <f t="shared" si="9"/>
        <v>0</v>
      </c>
    </row>
    <row r="22" spans="1:31">
      <c r="A22" s="1729"/>
      <c r="B22" s="1708"/>
      <c r="C22" s="1708"/>
      <c r="D22" s="76" t="s">
        <v>374</v>
      </c>
      <c r="E22" s="31">
        <v>3.1</v>
      </c>
      <c r="F22" s="165">
        <v>32</v>
      </c>
      <c r="G22" s="75">
        <f t="shared" si="1"/>
        <v>99.2</v>
      </c>
      <c r="H22" s="31">
        <v>3.1</v>
      </c>
      <c r="I22" s="165">
        <v>27</v>
      </c>
      <c r="J22" s="75">
        <f t="shared" si="2"/>
        <v>83.7</v>
      </c>
      <c r="K22" s="1203">
        <v>3.1</v>
      </c>
      <c r="L22" s="165">
        <v>30</v>
      </c>
      <c r="M22" s="75">
        <f t="shared" si="3"/>
        <v>93</v>
      </c>
      <c r="N22" s="1036">
        <v>3.1</v>
      </c>
      <c r="O22" s="165">
        <v>30</v>
      </c>
      <c r="P22" s="75">
        <f t="shared" si="4"/>
        <v>93</v>
      </c>
      <c r="Q22" s="31">
        <v>3.1</v>
      </c>
      <c r="R22" s="165">
        <v>32</v>
      </c>
      <c r="S22" s="75">
        <f t="shared" si="5"/>
        <v>99.2</v>
      </c>
      <c r="T22" s="31">
        <v>3.1</v>
      </c>
      <c r="U22" s="165">
        <f>R22</f>
        <v>32</v>
      </c>
      <c r="V22" s="75">
        <f t="shared" si="6"/>
        <v>99.2</v>
      </c>
      <c r="W22" s="31">
        <v>3.1</v>
      </c>
      <c r="X22" s="165">
        <f>U22</f>
        <v>32</v>
      </c>
      <c r="Y22" s="75">
        <f t="shared" si="7"/>
        <v>99.2</v>
      </c>
      <c r="Z22" s="31">
        <v>3.1</v>
      </c>
      <c r="AA22" s="165">
        <f>X22</f>
        <v>32</v>
      </c>
      <c r="AB22" s="75">
        <f t="shared" si="8"/>
        <v>99.2</v>
      </c>
      <c r="AC22" s="31">
        <v>3.1</v>
      </c>
      <c r="AD22" s="165">
        <f>AA22</f>
        <v>32</v>
      </c>
      <c r="AE22" s="75">
        <f t="shared" si="9"/>
        <v>99.2</v>
      </c>
    </row>
    <row r="23" spans="1:31" ht="12.75" customHeight="1">
      <c r="A23" s="1714">
        <v>5</v>
      </c>
      <c r="B23" s="1723" t="s">
        <v>376</v>
      </c>
      <c r="C23" s="1723" t="s">
        <v>373</v>
      </c>
      <c r="D23" s="31">
        <v>220</v>
      </c>
      <c r="E23" s="31">
        <v>19</v>
      </c>
      <c r="F23" s="165"/>
      <c r="G23" s="75">
        <f t="shared" si="1"/>
        <v>0</v>
      </c>
      <c r="H23" s="31">
        <v>19</v>
      </c>
      <c r="I23" s="165"/>
      <c r="J23" s="75">
        <f t="shared" si="2"/>
        <v>0</v>
      </c>
      <c r="K23" s="1203">
        <v>19</v>
      </c>
      <c r="L23" s="165"/>
      <c r="M23" s="75">
        <f t="shared" si="3"/>
        <v>0</v>
      </c>
      <c r="N23" s="1036">
        <v>19</v>
      </c>
      <c r="O23" s="165"/>
      <c r="P23" s="75">
        <f t="shared" si="4"/>
        <v>0</v>
      </c>
      <c r="Q23" s="31">
        <v>19</v>
      </c>
      <c r="R23" s="165"/>
      <c r="S23" s="75">
        <f t="shared" si="5"/>
        <v>0</v>
      </c>
      <c r="T23" s="31">
        <v>19</v>
      </c>
      <c r="U23" s="165"/>
      <c r="V23" s="75">
        <f t="shared" si="6"/>
        <v>0</v>
      </c>
      <c r="W23" s="31">
        <v>19</v>
      </c>
      <c r="X23" s="165"/>
      <c r="Y23" s="75">
        <f t="shared" si="7"/>
        <v>0</v>
      </c>
      <c r="Z23" s="31">
        <v>19</v>
      </c>
      <c r="AA23" s="165"/>
      <c r="AB23" s="75">
        <f t="shared" si="8"/>
        <v>0</v>
      </c>
      <c r="AC23" s="31">
        <v>19</v>
      </c>
      <c r="AD23" s="165"/>
      <c r="AE23" s="75">
        <f t="shared" si="9"/>
        <v>0</v>
      </c>
    </row>
    <row r="24" spans="1:31" ht="12.75" customHeight="1">
      <c r="A24" s="1728"/>
      <c r="B24" s="1724"/>
      <c r="C24" s="1724"/>
      <c r="D24" s="31" t="s">
        <v>371</v>
      </c>
      <c r="E24" s="31">
        <v>9.5</v>
      </c>
      <c r="F24" s="165"/>
      <c r="G24" s="75">
        <f t="shared" si="1"/>
        <v>0</v>
      </c>
      <c r="H24" s="31">
        <v>9.5</v>
      </c>
      <c r="I24" s="165"/>
      <c r="J24" s="75">
        <f t="shared" si="2"/>
        <v>0</v>
      </c>
      <c r="K24" s="1203">
        <v>9.5</v>
      </c>
      <c r="L24" s="165"/>
      <c r="M24" s="75">
        <f t="shared" si="3"/>
        <v>0</v>
      </c>
      <c r="N24" s="1036">
        <v>9.5</v>
      </c>
      <c r="O24" s="165"/>
      <c r="P24" s="75">
        <f t="shared" si="4"/>
        <v>0</v>
      </c>
      <c r="Q24" s="31">
        <v>9.5</v>
      </c>
      <c r="R24" s="165"/>
      <c r="S24" s="75">
        <f t="shared" si="5"/>
        <v>0</v>
      </c>
      <c r="T24" s="31">
        <v>9.5</v>
      </c>
      <c r="U24" s="165"/>
      <c r="V24" s="75">
        <f t="shared" si="6"/>
        <v>0</v>
      </c>
      <c r="W24" s="31">
        <v>9.5</v>
      </c>
      <c r="X24" s="165"/>
      <c r="Y24" s="75">
        <f t="shared" si="7"/>
        <v>0</v>
      </c>
      <c r="Z24" s="31">
        <v>9.5</v>
      </c>
      <c r="AA24" s="165"/>
      <c r="AB24" s="75">
        <f t="shared" si="8"/>
        <v>0</v>
      </c>
      <c r="AC24" s="31">
        <v>9.5</v>
      </c>
      <c r="AD24" s="165"/>
      <c r="AE24" s="75">
        <f t="shared" si="9"/>
        <v>0</v>
      </c>
    </row>
    <row r="25" spans="1:31" ht="12.75" customHeight="1">
      <c r="A25" s="1729"/>
      <c r="B25" s="1708"/>
      <c r="C25" s="1708"/>
      <c r="D25" s="31">
        <v>35</v>
      </c>
      <c r="E25" s="31">
        <v>4.7</v>
      </c>
      <c r="F25" s="165"/>
      <c r="G25" s="75">
        <f t="shared" si="1"/>
        <v>0</v>
      </c>
      <c r="H25" s="31">
        <v>4.7</v>
      </c>
      <c r="I25" s="165"/>
      <c r="J25" s="75">
        <f t="shared" si="2"/>
        <v>0</v>
      </c>
      <c r="K25" s="1203">
        <v>4.7</v>
      </c>
      <c r="L25" s="165"/>
      <c r="M25" s="75">
        <f t="shared" si="3"/>
        <v>0</v>
      </c>
      <c r="N25" s="1036">
        <v>4.7</v>
      </c>
      <c r="O25" s="165"/>
      <c r="P25" s="75">
        <f t="shared" si="4"/>
        <v>0</v>
      </c>
      <c r="Q25" s="31">
        <v>4.7</v>
      </c>
      <c r="R25" s="165"/>
      <c r="S25" s="75">
        <f t="shared" si="5"/>
        <v>0</v>
      </c>
      <c r="T25" s="31">
        <v>4.7</v>
      </c>
      <c r="U25" s="165"/>
      <c r="V25" s="75">
        <f t="shared" si="6"/>
        <v>0</v>
      </c>
      <c r="W25" s="31">
        <v>4.7</v>
      </c>
      <c r="X25" s="165"/>
      <c r="Y25" s="75">
        <f t="shared" si="7"/>
        <v>0</v>
      </c>
      <c r="Z25" s="31">
        <v>4.7</v>
      </c>
      <c r="AA25" s="165"/>
      <c r="AB25" s="75">
        <f t="shared" si="8"/>
        <v>0</v>
      </c>
      <c r="AC25" s="31">
        <v>4.7</v>
      </c>
      <c r="AD25" s="165"/>
      <c r="AE25" s="75">
        <f t="shared" si="9"/>
        <v>0</v>
      </c>
    </row>
    <row r="26" spans="1:31" ht="25.5">
      <c r="A26" s="55">
        <v>6</v>
      </c>
      <c r="B26" s="31" t="s">
        <v>342</v>
      </c>
      <c r="C26" s="31" t="s">
        <v>280</v>
      </c>
      <c r="D26" s="49" t="s">
        <v>374</v>
      </c>
      <c r="E26" s="31">
        <v>2.2999999999999998</v>
      </c>
      <c r="F26" s="1045">
        <v>106</v>
      </c>
      <c r="G26" s="75">
        <f t="shared" si="1"/>
        <v>243.79999999999998</v>
      </c>
      <c r="H26" s="31">
        <v>2.2999999999999998</v>
      </c>
      <c r="I26" s="1033">
        <v>41</v>
      </c>
      <c r="J26" s="75">
        <f t="shared" si="2"/>
        <v>94.3</v>
      </c>
      <c r="K26" s="1203">
        <v>2.2999999999999998</v>
      </c>
      <c r="L26" s="1045">
        <v>106</v>
      </c>
      <c r="M26" s="75">
        <f t="shared" si="3"/>
        <v>243.79999999999998</v>
      </c>
      <c r="N26" s="1036">
        <v>2.2999999999999998</v>
      </c>
      <c r="O26" s="1045">
        <v>138</v>
      </c>
      <c r="P26" s="75">
        <f>N26*O26</f>
        <v>317.39999999999998</v>
      </c>
      <c r="Q26" s="31">
        <v>2.2999999999999998</v>
      </c>
      <c r="R26" s="1045">
        <v>106</v>
      </c>
      <c r="S26" s="75">
        <f t="shared" si="5"/>
        <v>243.79999999999998</v>
      </c>
      <c r="T26" s="31">
        <v>2.2999999999999998</v>
      </c>
      <c r="U26" s="1045">
        <f>R26</f>
        <v>106</v>
      </c>
      <c r="V26" s="75">
        <f t="shared" si="6"/>
        <v>243.79999999999998</v>
      </c>
      <c r="W26" s="31">
        <v>2.2999999999999998</v>
      </c>
      <c r="X26" s="1045">
        <f>U26</f>
        <v>106</v>
      </c>
      <c r="Y26" s="75">
        <f t="shared" si="7"/>
        <v>243.79999999999998</v>
      </c>
      <c r="Z26" s="31">
        <v>2.2999999999999998</v>
      </c>
      <c r="AA26" s="1045">
        <f>X26</f>
        <v>106</v>
      </c>
      <c r="AB26" s="75">
        <f t="shared" si="8"/>
        <v>243.79999999999998</v>
      </c>
      <c r="AC26" s="31">
        <v>2.2999999999999998</v>
      </c>
      <c r="AD26" s="1045">
        <f>AA26</f>
        <v>106</v>
      </c>
      <c r="AE26" s="75">
        <f t="shared" si="9"/>
        <v>243.79999999999998</v>
      </c>
    </row>
    <row r="27" spans="1:31" ht="38.25">
      <c r="A27" s="55">
        <v>7</v>
      </c>
      <c r="B27" s="31" t="s">
        <v>377</v>
      </c>
      <c r="C27" s="31" t="s">
        <v>280</v>
      </c>
      <c r="D27" s="49" t="s">
        <v>374</v>
      </c>
      <c r="E27" s="31">
        <v>26</v>
      </c>
      <c r="F27" s="165"/>
      <c r="G27" s="75">
        <f t="shared" si="1"/>
        <v>0</v>
      </c>
      <c r="H27" s="31">
        <v>26</v>
      </c>
      <c r="I27" s="165"/>
      <c r="J27" s="75">
        <f t="shared" si="2"/>
        <v>0</v>
      </c>
      <c r="K27" s="1203">
        <v>26</v>
      </c>
      <c r="L27" s="165"/>
      <c r="M27" s="75">
        <f t="shared" si="3"/>
        <v>0</v>
      </c>
      <c r="N27" s="1036">
        <v>26</v>
      </c>
      <c r="O27" s="165"/>
      <c r="P27" s="75">
        <f t="shared" si="4"/>
        <v>0</v>
      </c>
      <c r="Q27" s="31">
        <v>26</v>
      </c>
      <c r="R27" s="165"/>
      <c r="S27" s="75">
        <f t="shared" si="5"/>
        <v>0</v>
      </c>
      <c r="T27" s="31">
        <v>26</v>
      </c>
      <c r="U27" s="165"/>
      <c r="V27" s="75">
        <f t="shared" si="6"/>
        <v>0</v>
      </c>
      <c r="W27" s="31">
        <v>26</v>
      </c>
      <c r="X27" s="165"/>
      <c r="Y27" s="75">
        <f t="shared" si="7"/>
        <v>0</v>
      </c>
      <c r="Z27" s="31">
        <v>26</v>
      </c>
      <c r="AA27" s="165"/>
      <c r="AB27" s="75">
        <f t="shared" si="8"/>
        <v>0</v>
      </c>
      <c r="AC27" s="31">
        <v>26</v>
      </c>
      <c r="AD27" s="165"/>
      <c r="AE27" s="75">
        <f t="shared" si="9"/>
        <v>0</v>
      </c>
    </row>
    <row r="28" spans="1:31" ht="25.5">
      <c r="A28" s="55">
        <v>8</v>
      </c>
      <c r="B28" s="31" t="s">
        <v>378</v>
      </c>
      <c r="C28" s="31" t="s">
        <v>280</v>
      </c>
      <c r="D28" s="49" t="s">
        <v>374</v>
      </c>
      <c r="E28" s="31">
        <v>48</v>
      </c>
      <c r="F28" s="165"/>
      <c r="G28" s="75">
        <f t="shared" si="1"/>
        <v>0</v>
      </c>
      <c r="H28" s="31">
        <v>48</v>
      </c>
      <c r="I28" s="165"/>
      <c r="J28" s="75">
        <f t="shared" si="2"/>
        <v>0</v>
      </c>
      <c r="K28" s="1203">
        <v>48</v>
      </c>
      <c r="L28" s="165"/>
      <c r="M28" s="75">
        <f t="shared" si="3"/>
        <v>0</v>
      </c>
      <c r="N28" s="1036">
        <v>48</v>
      </c>
      <c r="O28" s="165"/>
      <c r="P28" s="75">
        <f t="shared" si="4"/>
        <v>0</v>
      </c>
      <c r="Q28" s="31">
        <v>48</v>
      </c>
      <c r="R28" s="165"/>
      <c r="S28" s="75">
        <f t="shared" si="5"/>
        <v>0</v>
      </c>
      <c r="T28" s="31">
        <v>48</v>
      </c>
      <c r="U28" s="165"/>
      <c r="V28" s="75">
        <f t="shared" si="6"/>
        <v>0</v>
      </c>
      <c r="W28" s="31">
        <v>48</v>
      </c>
      <c r="X28" s="165"/>
      <c r="Y28" s="75">
        <f t="shared" si="7"/>
        <v>0</v>
      </c>
      <c r="Z28" s="31">
        <v>48</v>
      </c>
      <c r="AA28" s="165"/>
      <c r="AB28" s="75">
        <f t="shared" si="8"/>
        <v>0</v>
      </c>
      <c r="AC28" s="31">
        <v>48</v>
      </c>
      <c r="AD28" s="165"/>
      <c r="AE28" s="75">
        <f t="shared" si="9"/>
        <v>0</v>
      </c>
    </row>
    <row r="29" spans="1:31" ht="13.5" customHeight="1">
      <c r="A29" s="1728">
        <v>9</v>
      </c>
      <c r="B29" s="1724" t="s">
        <v>379</v>
      </c>
      <c r="C29" s="1724" t="s">
        <v>380</v>
      </c>
      <c r="D29" s="32">
        <v>35</v>
      </c>
      <c r="E29" s="32">
        <v>2.4</v>
      </c>
      <c r="F29" s="164"/>
      <c r="G29" s="75">
        <f t="shared" si="1"/>
        <v>0</v>
      </c>
      <c r="H29" s="32">
        <v>2.4</v>
      </c>
      <c r="I29" s="164"/>
      <c r="J29" s="75">
        <f t="shared" si="2"/>
        <v>0</v>
      </c>
      <c r="K29" s="1206">
        <v>2.4</v>
      </c>
      <c r="L29" s="164"/>
      <c r="M29" s="75">
        <f t="shared" si="3"/>
        <v>0</v>
      </c>
      <c r="N29" s="1035">
        <v>2.4</v>
      </c>
      <c r="O29" s="164"/>
      <c r="P29" s="75">
        <f t="shared" si="4"/>
        <v>0</v>
      </c>
      <c r="Q29" s="32">
        <v>2.4</v>
      </c>
      <c r="R29" s="164"/>
      <c r="S29" s="75">
        <f t="shared" si="5"/>
        <v>0</v>
      </c>
      <c r="T29" s="32">
        <v>2.4</v>
      </c>
      <c r="U29" s="164"/>
      <c r="V29" s="75">
        <f t="shared" si="6"/>
        <v>0</v>
      </c>
      <c r="W29" s="32">
        <v>2.4</v>
      </c>
      <c r="X29" s="164"/>
      <c r="Y29" s="75">
        <f t="shared" si="7"/>
        <v>0</v>
      </c>
      <c r="Z29" s="32">
        <v>2.4</v>
      </c>
      <c r="AA29" s="164"/>
      <c r="AB29" s="75">
        <f t="shared" si="8"/>
        <v>0</v>
      </c>
      <c r="AC29" s="32">
        <v>2.4</v>
      </c>
      <c r="AD29" s="164"/>
      <c r="AE29" s="75">
        <f t="shared" si="9"/>
        <v>0</v>
      </c>
    </row>
    <row r="30" spans="1:31">
      <c r="A30" s="1729"/>
      <c r="B30" s="1708"/>
      <c r="C30" s="1708"/>
      <c r="D30" s="49" t="s">
        <v>374</v>
      </c>
      <c r="E30" s="31">
        <v>2.4</v>
      </c>
      <c r="F30" s="165"/>
      <c r="G30" s="75">
        <f t="shared" si="1"/>
        <v>0</v>
      </c>
      <c r="H30" s="31">
        <v>2.4</v>
      </c>
      <c r="I30" s="165"/>
      <c r="J30" s="75">
        <f t="shared" si="2"/>
        <v>0</v>
      </c>
      <c r="K30" s="1203">
        <v>2.4</v>
      </c>
      <c r="L30" s="165"/>
      <c r="M30" s="75">
        <f t="shared" si="3"/>
        <v>0</v>
      </c>
      <c r="N30" s="1036">
        <v>2.4</v>
      </c>
      <c r="O30" s="165"/>
      <c r="P30" s="75">
        <f t="shared" si="4"/>
        <v>0</v>
      </c>
      <c r="Q30" s="31">
        <v>2.4</v>
      </c>
      <c r="R30" s="165"/>
      <c r="S30" s="75">
        <f t="shared" si="5"/>
        <v>0</v>
      </c>
      <c r="T30" s="31">
        <v>2.4</v>
      </c>
      <c r="U30" s="165"/>
      <c r="V30" s="75">
        <f t="shared" si="6"/>
        <v>0</v>
      </c>
      <c r="W30" s="31">
        <v>2.4</v>
      </c>
      <c r="X30" s="165"/>
      <c r="Y30" s="75">
        <f t="shared" si="7"/>
        <v>0</v>
      </c>
      <c r="Z30" s="31">
        <v>2.4</v>
      </c>
      <c r="AA30" s="165"/>
      <c r="AB30" s="75">
        <f t="shared" si="8"/>
        <v>0</v>
      </c>
      <c r="AC30" s="31">
        <v>2.4</v>
      </c>
      <c r="AD30" s="165"/>
      <c r="AE30" s="75">
        <f t="shared" si="9"/>
        <v>0</v>
      </c>
    </row>
    <row r="31" spans="1:31" ht="25.5">
      <c r="A31" s="55">
        <v>10</v>
      </c>
      <c r="B31" s="31" t="s">
        <v>336</v>
      </c>
      <c r="C31" s="31" t="s">
        <v>337</v>
      </c>
      <c r="D31" s="49" t="s">
        <v>374</v>
      </c>
      <c r="E31" s="31">
        <v>2.5</v>
      </c>
      <c r="F31" s="165">
        <v>23</v>
      </c>
      <c r="G31" s="75">
        <f t="shared" si="1"/>
        <v>57.5</v>
      </c>
      <c r="H31" s="31">
        <v>2.5</v>
      </c>
      <c r="I31" s="165">
        <v>25</v>
      </c>
      <c r="J31" s="75">
        <f t="shared" si="2"/>
        <v>62.5</v>
      </c>
      <c r="K31" s="1203">
        <v>2.5</v>
      </c>
      <c r="L31" s="165">
        <v>24</v>
      </c>
      <c r="M31" s="75">
        <f t="shared" si="3"/>
        <v>60</v>
      </c>
      <c r="N31" s="1036">
        <v>2.5</v>
      </c>
      <c r="O31" s="165">
        <v>24</v>
      </c>
      <c r="P31" s="75">
        <f t="shared" si="4"/>
        <v>60</v>
      </c>
      <c r="Q31" s="31">
        <v>2.5</v>
      </c>
      <c r="R31" s="165">
        <v>24</v>
      </c>
      <c r="S31" s="75">
        <f t="shared" si="5"/>
        <v>60</v>
      </c>
      <c r="T31" s="31">
        <v>2.5</v>
      </c>
      <c r="U31" s="165">
        <f>R31</f>
        <v>24</v>
      </c>
      <c r="V31" s="75">
        <f t="shared" si="6"/>
        <v>60</v>
      </c>
      <c r="W31" s="31">
        <v>2.5</v>
      </c>
      <c r="X31" s="165">
        <f>U31</f>
        <v>24</v>
      </c>
      <c r="Y31" s="75">
        <f t="shared" si="7"/>
        <v>60</v>
      </c>
      <c r="Z31" s="31">
        <v>2.5</v>
      </c>
      <c r="AA31" s="165">
        <v>25</v>
      </c>
      <c r="AB31" s="75">
        <f t="shared" si="8"/>
        <v>62.5</v>
      </c>
      <c r="AC31" s="31">
        <v>2.5</v>
      </c>
      <c r="AD31" s="165">
        <v>25</v>
      </c>
      <c r="AE31" s="75">
        <f t="shared" si="9"/>
        <v>62.5</v>
      </c>
    </row>
    <row r="32" spans="1:31" ht="25.5">
      <c r="A32" s="55">
        <v>11</v>
      </c>
      <c r="B32" s="31" t="s">
        <v>381</v>
      </c>
      <c r="C32" s="31" t="s">
        <v>338</v>
      </c>
      <c r="D32" s="49" t="s">
        <v>374</v>
      </c>
      <c r="E32" s="31">
        <v>2.2999999999999998</v>
      </c>
      <c r="F32" s="165">
        <v>45</v>
      </c>
      <c r="G32" s="75">
        <f t="shared" si="1"/>
        <v>103.49999999999999</v>
      </c>
      <c r="H32" s="31">
        <v>2.2999999999999998</v>
      </c>
      <c r="I32" s="165">
        <v>42</v>
      </c>
      <c r="J32" s="75">
        <f t="shared" si="2"/>
        <v>96.6</v>
      </c>
      <c r="K32" s="1203">
        <v>2.2999999999999998</v>
      </c>
      <c r="L32" s="165">
        <v>45</v>
      </c>
      <c r="M32" s="75">
        <f t="shared" si="3"/>
        <v>103.49999999999999</v>
      </c>
      <c r="N32" s="1036">
        <v>2.2999999999999998</v>
      </c>
      <c r="O32" s="165">
        <v>45</v>
      </c>
      <c r="P32" s="75">
        <f t="shared" si="4"/>
        <v>103.49999999999999</v>
      </c>
      <c r="Q32" s="31">
        <v>2.2999999999999998</v>
      </c>
      <c r="R32" s="165">
        <v>45</v>
      </c>
      <c r="S32" s="75">
        <f t="shared" si="5"/>
        <v>103.49999999999999</v>
      </c>
      <c r="T32" s="31">
        <v>2.2999999999999998</v>
      </c>
      <c r="U32" s="165">
        <f>R32</f>
        <v>45</v>
      </c>
      <c r="V32" s="75">
        <f t="shared" si="6"/>
        <v>103.49999999999999</v>
      </c>
      <c r="W32" s="31">
        <v>2.2999999999999998</v>
      </c>
      <c r="X32" s="165">
        <f>U32</f>
        <v>45</v>
      </c>
      <c r="Y32" s="75">
        <f t="shared" si="7"/>
        <v>103.49999999999999</v>
      </c>
      <c r="Z32" s="31">
        <v>2.2999999999999998</v>
      </c>
      <c r="AA32" s="165">
        <f>X32</f>
        <v>45</v>
      </c>
      <c r="AB32" s="75">
        <f t="shared" si="8"/>
        <v>103.49999999999999</v>
      </c>
      <c r="AC32" s="31">
        <v>2.2999999999999998</v>
      </c>
      <c r="AD32" s="165">
        <f>AA32</f>
        <v>45</v>
      </c>
      <c r="AE32" s="75">
        <f t="shared" si="9"/>
        <v>103.49999999999999</v>
      </c>
    </row>
    <row r="33" spans="1:31" ht="25.5">
      <c r="A33" s="55">
        <v>12</v>
      </c>
      <c r="B33" s="31" t="s">
        <v>339</v>
      </c>
      <c r="C33" s="31" t="s">
        <v>338</v>
      </c>
      <c r="D33" s="49" t="s">
        <v>374</v>
      </c>
      <c r="E33" s="31">
        <v>3</v>
      </c>
      <c r="F33" s="165">
        <v>11</v>
      </c>
      <c r="G33" s="75">
        <f t="shared" si="1"/>
        <v>33</v>
      </c>
      <c r="H33" s="31">
        <v>3</v>
      </c>
      <c r="I33" s="165">
        <v>12</v>
      </c>
      <c r="J33" s="75">
        <f t="shared" si="2"/>
        <v>36</v>
      </c>
      <c r="K33" s="1203">
        <v>3</v>
      </c>
      <c r="L33" s="165">
        <v>11</v>
      </c>
      <c r="M33" s="75">
        <f t="shared" si="3"/>
        <v>33</v>
      </c>
      <c r="N33" s="1036">
        <v>3</v>
      </c>
      <c r="O33" s="165">
        <v>11</v>
      </c>
      <c r="P33" s="75">
        <f t="shared" si="4"/>
        <v>33</v>
      </c>
      <c r="Q33" s="31">
        <v>3</v>
      </c>
      <c r="R33" s="165">
        <v>11</v>
      </c>
      <c r="S33" s="75">
        <f t="shared" si="5"/>
        <v>33</v>
      </c>
      <c r="T33" s="31">
        <v>3</v>
      </c>
      <c r="U33" s="165">
        <f>R33</f>
        <v>11</v>
      </c>
      <c r="V33" s="75">
        <f t="shared" si="6"/>
        <v>33</v>
      </c>
      <c r="W33" s="31">
        <v>3</v>
      </c>
      <c r="X33" s="165">
        <f>U33</f>
        <v>11</v>
      </c>
      <c r="Y33" s="75">
        <f t="shared" si="7"/>
        <v>33</v>
      </c>
      <c r="Z33" s="31">
        <v>3</v>
      </c>
      <c r="AA33" s="165">
        <f>X33</f>
        <v>11</v>
      </c>
      <c r="AB33" s="75">
        <f t="shared" si="8"/>
        <v>33</v>
      </c>
      <c r="AC33" s="31">
        <v>3</v>
      </c>
      <c r="AD33" s="165">
        <f>AA33</f>
        <v>11</v>
      </c>
      <c r="AE33" s="75">
        <f t="shared" si="9"/>
        <v>33</v>
      </c>
    </row>
    <row r="34" spans="1:31" ht="39" thickBot="1">
      <c r="A34" s="58">
        <v>13</v>
      </c>
      <c r="B34" s="30" t="s">
        <v>382</v>
      </c>
      <c r="C34" s="30" t="s">
        <v>335</v>
      </c>
      <c r="D34" s="30">
        <v>35</v>
      </c>
      <c r="E34" s="30">
        <v>3.5</v>
      </c>
      <c r="F34" s="166"/>
      <c r="G34" s="75">
        <f t="shared" si="1"/>
        <v>0</v>
      </c>
      <c r="H34" s="30">
        <v>3.5</v>
      </c>
      <c r="I34" s="166"/>
      <c r="J34" s="75">
        <f t="shared" si="2"/>
        <v>0</v>
      </c>
      <c r="K34" s="1207">
        <v>3.5</v>
      </c>
      <c r="L34" s="166"/>
      <c r="M34" s="75">
        <f t="shared" si="3"/>
        <v>0</v>
      </c>
      <c r="N34" s="1039">
        <v>3.5</v>
      </c>
      <c r="O34" s="166"/>
      <c r="P34" s="75">
        <f t="shared" si="4"/>
        <v>0</v>
      </c>
      <c r="Q34" s="30">
        <v>3.5</v>
      </c>
      <c r="R34" s="166"/>
      <c r="S34" s="75">
        <f t="shared" si="5"/>
        <v>0</v>
      </c>
      <c r="T34" s="30">
        <v>3.5</v>
      </c>
      <c r="U34" s="166"/>
      <c r="V34" s="75">
        <f t="shared" si="6"/>
        <v>0</v>
      </c>
      <c r="W34" s="30">
        <v>3.5</v>
      </c>
      <c r="X34" s="166"/>
      <c r="Y34" s="75">
        <f t="shared" si="7"/>
        <v>0</v>
      </c>
      <c r="Z34" s="30">
        <v>3.5</v>
      </c>
      <c r="AA34" s="166"/>
      <c r="AB34" s="75">
        <f t="shared" si="8"/>
        <v>0</v>
      </c>
      <c r="AC34" s="30">
        <v>3.5</v>
      </c>
      <c r="AD34" s="166"/>
      <c r="AE34" s="75">
        <f t="shared" si="9"/>
        <v>0</v>
      </c>
    </row>
    <row r="35" spans="1:31">
      <c r="A35" s="1730" t="s">
        <v>323</v>
      </c>
      <c r="B35" s="1732" t="s">
        <v>383</v>
      </c>
      <c r="C35" s="1733"/>
      <c r="D35" s="52" t="s">
        <v>384</v>
      </c>
      <c r="E35" s="80" t="s">
        <v>352</v>
      </c>
      <c r="F35" s="80" t="s">
        <v>352</v>
      </c>
      <c r="G35" s="155">
        <f>G8+G11+G15+G19+G23+G9+G12+G16+G20+G24</f>
        <v>0</v>
      </c>
      <c r="H35" s="80" t="s">
        <v>352</v>
      </c>
      <c r="I35" s="80" t="s">
        <v>352</v>
      </c>
      <c r="J35" s="155">
        <f>J8+J11+J15+J19+J23+J9+J12+J16+J20+J24</f>
        <v>0</v>
      </c>
      <c r="K35" s="80" t="s">
        <v>352</v>
      </c>
      <c r="L35" s="80" t="s">
        <v>352</v>
      </c>
      <c r="M35" s="155">
        <f>M8+M11+M15+M19+M23+M9+M12+M16+M20+M24</f>
        <v>0</v>
      </c>
      <c r="N35" s="80" t="s">
        <v>352</v>
      </c>
      <c r="O35" s="80" t="s">
        <v>352</v>
      </c>
      <c r="P35" s="155">
        <f>P8+P11+P15+P19+P23+P9+P12+P16+P20+P24</f>
        <v>0</v>
      </c>
      <c r="Q35" s="80" t="s">
        <v>352</v>
      </c>
      <c r="R35" s="80" t="s">
        <v>352</v>
      </c>
      <c r="S35" s="155">
        <f>S8+S11+S15+S19+S23+S9+S12+S16+S20+S24</f>
        <v>0</v>
      </c>
      <c r="T35" s="80" t="s">
        <v>352</v>
      </c>
      <c r="U35" s="80" t="s">
        <v>352</v>
      </c>
      <c r="V35" s="155">
        <f>V8+V11+V15+V19+V23+V9+V12+V16+V20+V24</f>
        <v>0</v>
      </c>
      <c r="W35" s="80" t="s">
        <v>352</v>
      </c>
      <c r="X35" s="80" t="s">
        <v>352</v>
      </c>
      <c r="Y35" s="155">
        <f>Y8+Y11+Y15+Y19+Y23+Y9+Y12+Y16+Y20+Y24</f>
        <v>0</v>
      </c>
      <c r="Z35" s="80" t="s">
        <v>352</v>
      </c>
      <c r="AA35" s="80" t="s">
        <v>352</v>
      </c>
      <c r="AB35" s="155">
        <f>AB8+AB11+AB15+AB19+AB23+AB9+AB12+AB16+AB20+AB24</f>
        <v>0</v>
      </c>
      <c r="AC35" s="80" t="s">
        <v>352</v>
      </c>
      <c r="AD35" s="80" t="s">
        <v>352</v>
      </c>
      <c r="AE35" s="155">
        <f>AE8+AE11+AE15+AE19+AE23+AE9+AE12+AE16+AE20+AE24</f>
        <v>0</v>
      </c>
    </row>
    <row r="36" spans="1:31">
      <c r="A36" s="1728"/>
      <c r="B36" s="1734"/>
      <c r="C36" s="1735"/>
      <c r="D36" s="71" t="s">
        <v>394</v>
      </c>
      <c r="E36" s="34" t="s">
        <v>352</v>
      </c>
      <c r="F36" s="34" t="s">
        <v>352</v>
      </c>
      <c r="G36" s="156">
        <f>G10+G13+G17+G21+G25+G29+G34</f>
        <v>0</v>
      </c>
      <c r="H36" s="34" t="s">
        <v>352</v>
      </c>
      <c r="I36" s="34" t="s">
        <v>352</v>
      </c>
      <c r="J36" s="156">
        <f>J10+J13+J17+J21+J25+J29+J34</f>
        <v>0</v>
      </c>
      <c r="K36" s="1202" t="s">
        <v>352</v>
      </c>
      <c r="L36" s="1202" t="s">
        <v>352</v>
      </c>
      <c r="M36" s="156">
        <f>M10+M13+M17+M21+M25+M29+M34</f>
        <v>0</v>
      </c>
      <c r="N36" s="1037" t="s">
        <v>352</v>
      </c>
      <c r="O36" s="1037" t="s">
        <v>352</v>
      </c>
      <c r="P36" s="156">
        <f>P10+P13+P17+P21+P25+P29+P34</f>
        <v>0</v>
      </c>
      <c r="Q36" s="34" t="s">
        <v>352</v>
      </c>
      <c r="R36" s="34" t="s">
        <v>352</v>
      </c>
      <c r="S36" s="156">
        <f>S10+S13+S17+S21+S25+S29+S34</f>
        <v>0</v>
      </c>
      <c r="T36" s="34" t="s">
        <v>352</v>
      </c>
      <c r="U36" s="34" t="s">
        <v>352</v>
      </c>
      <c r="V36" s="156">
        <f>V10+V13+V17+V21+V25+V29+V34</f>
        <v>0</v>
      </c>
      <c r="W36" s="34" t="s">
        <v>352</v>
      </c>
      <c r="X36" s="34" t="s">
        <v>352</v>
      </c>
      <c r="Y36" s="156">
        <f>Y10+Y13+Y17+Y21+Y25+Y29+Y34</f>
        <v>0</v>
      </c>
      <c r="Z36" s="34" t="s">
        <v>352</v>
      </c>
      <c r="AA36" s="34" t="s">
        <v>352</v>
      </c>
      <c r="AB36" s="156">
        <f>AB10+AB13+AB17+AB21+AB25+AB29+AB34</f>
        <v>0</v>
      </c>
      <c r="AC36" s="34" t="s">
        <v>352</v>
      </c>
      <c r="AD36" s="34" t="s">
        <v>352</v>
      </c>
      <c r="AE36" s="156">
        <f>AE10+AE13+AE17+AE21+AE25+AE29+AE34</f>
        <v>0</v>
      </c>
    </row>
    <row r="37" spans="1:31" ht="13.5" thickBot="1">
      <c r="A37" s="1731"/>
      <c r="B37" s="1736"/>
      <c r="C37" s="1737"/>
      <c r="D37" s="78" t="s">
        <v>395</v>
      </c>
      <c r="E37" s="79" t="s">
        <v>352</v>
      </c>
      <c r="F37" s="79" t="s">
        <v>352</v>
      </c>
      <c r="G37" s="154">
        <f>SUM(G8:G34)-G35-G36</f>
        <v>537</v>
      </c>
      <c r="H37" s="79" t="s">
        <v>352</v>
      </c>
      <c r="I37" s="79" t="s">
        <v>352</v>
      </c>
      <c r="J37" s="154">
        <f>SUM(J8:J34)-J35-J36</f>
        <v>373.1</v>
      </c>
      <c r="K37" s="79" t="s">
        <v>352</v>
      </c>
      <c r="L37" s="79" t="s">
        <v>352</v>
      </c>
      <c r="M37" s="154">
        <f>SUM(M8:M34)-M35-M36</f>
        <v>533.29999999999995</v>
      </c>
      <c r="N37" s="79" t="s">
        <v>352</v>
      </c>
      <c r="O37" s="79" t="s">
        <v>352</v>
      </c>
      <c r="P37" s="154">
        <f>SUM(P8:P34)-P35-P36</f>
        <v>606.9</v>
      </c>
      <c r="Q37" s="79" t="s">
        <v>352</v>
      </c>
      <c r="R37" s="79" t="s">
        <v>352</v>
      </c>
      <c r="S37" s="154">
        <f>SUM(S8:S34)-S35-S36</f>
        <v>539.5</v>
      </c>
      <c r="T37" s="79" t="s">
        <v>352</v>
      </c>
      <c r="U37" s="79" t="s">
        <v>352</v>
      </c>
      <c r="V37" s="154">
        <f>SUM(V8:V34)-V35-V36</f>
        <v>539.5</v>
      </c>
      <c r="W37" s="79" t="s">
        <v>352</v>
      </c>
      <c r="X37" s="79" t="s">
        <v>352</v>
      </c>
      <c r="Y37" s="154">
        <f>SUM(Y8:Y34)-Y35-Y36</f>
        <v>539.5</v>
      </c>
      <c r="Z37" s="79" t="s">
        <v>352</v>
      </c>
      <c r="AA37" s="79" t="s">
        <v>352</v>
      </c>
      <c r="AB37" s="154">
        <f>SUM(AB8:AB34)-AB35-AB36</f>
        <v>542</v>
      </c>
      <c r="AC37" s="79" t="s">
        <v>352</v>
      </c>
      <c r="AD37" s="79" t="s">
        <v>352</v>
      </c>
      <c r="AE37" s="154">
        <f>SUM(AE8:AE34)-AE35-AE36</f>
        <v>542</v>
      </c>
    </row>
    <row r="38" spans="1:31">
      <c r="A38" s="51" t="s">
        <v>397</v>
      </c>
      <c r="F38" s="26">
        <f>F31+F32+F33</f>
        <v>79</v>
      </c>
      <c r="L38" s="26">
        <f>L31+L32+L33</f>
        <v>80</v>
      </c>
      <c r="O38" s="26">
        <f>O31+O32+O33</f>
        <v>80</v>
      </c>
      <c r="R38" s="26">
        <f>R31+R32+R33</f>
        <v>80</v>
      </c>
      <c r="AE38" s="1007">
        <v>4</v>
      </c>
    </row>
    <row r="39" spans="1:31" ht="30.75" customHeight="1">
      <c r="A39" s="1726" t="s">
        <v>396</v>
      </c>
      <c r="B39" s="1727"/>
      <c r="C39" s="1727"/>
      <c r="D39" s="1727"/>
      <c r="E39" s="1727"/>
      <c r="F39" s="1727"/>
      <c r="G39" s="1727"/>
    </row>
    <row r="40" spans="1:31" ht="30" customHeight="1">
      <c r="A40" s="1725" t="s">
        <v>398</v>
      </c>
      <c r="B40" s="1705"/>
      <c r="C40" s="1705"/>
      <c r="D40" s="1705"/>
      <c r="E40" s="1705"/>
      <c r="F40" s="1705"/>
      <c r="G40" s="1705"/>
      <c r="I40" s="26">
        <f>I31+I32+I33</f>
        <v>79</v>
      </c>
      <c r="K40" s="26">
        <f>K31+K32+K33</f>
        <v>7.8</v>
      </c>
      <c r="M40" s="26">
        <f>'2.1'!J49+M37</f>
        <v>1007.25848</v>
      </c>
      <c r="O40" s="26">
        <f>O31+O32+O33</f>
        <v>80</v>
      </c>
      <c r="S40" s="26">
        <f>S37+'2.1'!P49</f>
        <v>1013.6581750000001</v>
      </c>
    </row>
    <row r="41" spans="1:31" ht="50.25" customHeight="1">
      <c r="A41" s="1705" t="s">
        <v>399</v>
      </c>
      <c r="B41" s="1705"/>
      <c r="C41" s="1705"/>
      <c r="D41" s="1705"/>
      <c r="E41" s="1705"/>
      <c r="F41" s="1705"/>
      <c r="G41" s="1705"/>
    </row>
    <row r="42" spans="1:31" ht="36" customHeight="1">
      <c r="A42" s="1705" t="s">
        <v>385</v>
      </c>
      <c r="B42" s="1705"/>
      <c r="C42" s="1705"/>
      <c r="D42" s="1705"/>
      <c r="E42" s="1705"/>
      <c r="F42" s="1705"/>
      <c r="G42" s="1705"/>
    </row>
    <row r="43" spans="1:31" ht="26.25" customHeight="1"/>
  </sheetData>
  <mergeCells count="29">
    <mergeCell ref="C19:C22"/>
    <mergeCell ref="A11:A14"/>
    <mergeCell ref="C11:C14"/>
    <mergeCell ref="C8:C10"/>
    <mergeCell ref="B8:B10"/>
    <mergeCell ref="A8:A10"/>
    <mergeCell ref="C15:C18"/>
    <mergeCell ref="B11:B14"/>
    <mergeCell ref="A15:A18"/>
    <mergeCell ref="B15:B18"/>
    <mergeCell ref="B19:B22"/>
    <mergeCell ref="A19:A22"/>
    <mergeCell ref="A3:G3"/>
    <mergeCell ref="A5:A6"/>
    <mergeCell ref="B5:B6"/>
    <mergeCell ref="C5:C6"/>
    <mergeCell ref="D5:D6"/>
    <mergeCell ref="A42:G42"/>
    <mergeCell ref="B23:B25"/>
    <mergeCell ref="C23:C25"/>
    <mergeCell ref="A40:G40"/>
    <mergeCell ref="A39:G39"/>
    <mergeCell ref="A29:A30"/>
    <mergeCell ref="A41:G41"/>
    <mergeCell ref="A35:A37"/>
    <mergeCell ref="B29:B30"/>
    <mergeCell ref="A23:A25"/>
    <mergeCell ref="B35:C37"/>
    <mergeCell ref="C29:C30"/>
  </mergeCells>
  <phoneticPr fontId="19" type="noConversion"/>
  <printOptions horizontalCentered="1"/>
  <pageMargins left="0.39370078740157483" right="0.27559055118110237" top="0.39370078740157483" bottom="0" header="0" footer="0"/>
  <pageSetup paperSize="9" scale="38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>
    <tabColor indexed="26"/>
    <pageSetUpPr fitToPage="1"/>
  </sheetPr>
  <dimension ref="A1:BR107"/>
  <sheetViews>
    <sheetView workbookViewId="0"/>
  </sheetViews>
  <sheetFormatPr defaultColWidth="8" defaultRowHeight="12.75"/>
  <cols>
    <col min="1" max="1" width="5.5703125" style="83" customWidth="1"/>
    <col min="2" max="2" width="41.5703125" style="91" customWidth="1"/>
    <col min="3" max="3" width="9.42578125" style="83" hidden="1" customWidth="1"/>
    <col min="4" max="4" width="8.28515625" style="83" hidden="1" customWidth="1"/>
    <col min="5" max="5" width="8.7109375" style="83" hidden="1" customWidth="1"/>
    <col min="6" max="6" width="10" style="83" hidden="1" customWidth="1"/>
    <col min="7" max="7" width="10.140625" style="83" hidden="1" customWidth="1"/>
    <col min="8" max="8" width="9.28515625" style="83" hidden="1" customWidth="1"/>
    <col min="9" max="9" width="9.42578125" style="83" hidden="1" customWidth="1"/>
    <col min="10" max="10" width="8.85546875" style="83" hidden="1" customWidth="1"/>
    <col min="11" max="11" width="10.42578125" style="83" hidden="1" customWidth="1"/>
    <col min="12" max="12" width="10.5703125" style="83" hidden="1" customWidth="1"/>
    <col min="13" max="13" width="9.28515625" style="83" hidden="1" customWidth="1"/>
    <col min="14" max="14" width="9.42578125" style="83" hidden="1" customWidth="1"/>
    <col min="15" max="15" width="8.85546875" style="83" hidden="1" customWidth="1"/>
    <col min="16" max="16" width="10.42578125" style="83" hidden="1" customWidth="1"/>
    <col min="17" max="17" width="10.5703125" style="83" hidden="1" customWidth="1"/>
    <col min="18" max="18" width="9.85546875" style="83" hidden="1" customWidth="1"/>
    <col min="19" max="20" width="8.140625" style="83" hidden="1" customWidth="1"/>
    <col min="21" max="22" width="10.5703125" style="83" hidden="1" customWidth="1"/>
    <col min="23" max="23" width="9.85546875" style="83" customWidth="1"/>
    <col min="24" max="25" width="8.140625" style="83" customWidth="1"/>
    <col min="26" max="27" width="8.7109375" style="83" customWidth="1"/>
    <col min="28" max="28" width="9.85546875" style="83" customWidth="1"/>
    <col min="29" max="30" width="8.140625" style="83" bestFit="1" customWidth="1"/>
    <col min="31" max="32" width="8.42578125" style="83" customWidth="1"/>
    <col min="33" max="36" width="8" style="83"/>
    <col min="37" max="37" width="10" style="83" bestFit="1" customWidth="1"/>
    <col min="38" max="39" width="8" style="83"/>
    <col min="40" max="40" width="13.28515625" style="83" customWidth="1"/>
    <col min="41" max="16384" width="8" style="83"/>
  </cols>
  <sheetData>
    <row r="1" spans="1:40">
      <c r="A1" s="81"/>
      <c r="B1" s="82"/>
      <c r="C1" s="81"/>
      <c r="D1" s="81"/>
      <c r="E1" s="81"/>
      <c r="F1" s="81"/>
      <c r="G1" s="81"/>
      <c r="I1" s="84"/>
      <c r="J1" s="84"/>
      <c r="M1" s="83">
        <v>23688</v>
      </c>
      <c r="N1" s="84">
        <v>29.128</v>
      </c>
      <c r="O1" s="84"/>
    </row>
    <row r="2" spans="1:40">
      <c r="A2" s="81"/>
      <c r="B2" s="82"/>
      <c r="C2" s="81"/>
      <c r="D2" s="81"/>
      <c r="E2" s="81"/>
      <c r="F2" s="81"/>
      <c r="G2" s="81"/>
      <c r="H2" s="85"/>
      <c r="I2" s="84"/>
      <c r="J2" s="84"/>
      <c r="K2" s="84"/>
      <c r="L2" s="1109">
        <f>P17+Q17+P21+Q21-M13</f>
        <v>0</v>
      </c>
      <c r="M2" s="85"/>
      <c r="N2" s="84">
        <v>6.4740000000000002</v>
      </c>
      <c r="O2" s="84">
        <v>8454</v>
      </c>
      <c r="P2" s="84">
        <v>14200</v>
      </c>
    </row>
    <row r="3" spans="1:40" ht="16.5" customHeight="1">
      <c r="A3" s="180"/>
      <c r="B3" s="181" t="s">
        <v>588</v>
      </c>
      <c r="C3" s="182"/>
      <c r="D3" s="182"/>
      <c r="E3" s="182"/>
      <c r="F3" s="182"/>
      <c r="G3" s="181"/>
      <c r="H3" s="182"/>
      <c r="I3" s="182"/>
      <c r="J3" s="182"/>
      <c r="K3" s="182"/>
      <c r="L3" s="182"/>
      <c r="M3" s="182"/>
      <c r="N3" s="182">
        <v>22.654</v>
      </c>
      <c r="O3" s="182"/>
      <c r="P3" s="182"/>
      <c r="Q3" s="85" t="s">
        <v>410</v>
      </c>
      <c r="R3" s="182"/>
      <c r="S3" s="182"/>
      <c r="T3" s="182"/>
      <c r="U3" s="182"/>
      <c r="W3" s="182"/>
      <c r="X3" s="182"/>
      <c r="Y3" s="182"/>
      <c r="Z3" s="182"/>
      <c r="AB3" s="182"/>
      <c r="AC3" s="182"/>
      <c r="AD3" s="182"/>
      <c r="AE3" s="182"/>
    </row>
    <row r="4" spans="1:40" ht="13.5" thickBot="1">
      <c r="A4" s="86" t="s">
        <v>296</v>
      </c>
      <c r="B4" s="87"/>
      <c r="C4" s="152" t="str">
        <f>IF(C12+C13-C17-C19=0,"","Не сходится поступление и отпуск")</f>
        <v/>
      </c>
      <c r="D4" s="86"/>
      <c r="E4" s="86"/>
      <c r="F4" s="86"/>
      <c r="G4" s="86"/>
      <c r="H4" s="152" t="str">
        <f>IF(H12+H13-H17-H19=0,"","Не сходится поступление и отпуск")</f>
        <v/>
      </c>
      <c r="I4" s="84"/>
      <c r="J4" s="84"/>
      <c r="M4" s="152" t="str">
        <f>IF(M12+M13-M17-M19=0,"","Не сходится поступление и отпуск")</f>
        <v/>
      </c>
      <c r="N4" s="84"/>
      <c r="O4" s="84"/>
      <c r="Q4" s="88" t="s">
        <v>417</v>
      </c>
      <c r="R4" s="152" t="str">
        <f>IF(ROUND(R12+R13-R17-R19,2)=0,"","Не сходится поступление и отпуск")</f>
        <v/>
      </c>
      <c r="W4" s="152" t="str">
        <f>IF(ROUND(W12+W13-W17-W19,2)=0,"","Не сходится поступление и отпуск")</f>
        <v/>
      </c>
      <c r="AB4" s="152" t="str">
        <f>IF(ROUND(AB12+AB13-AB17-AB19,2)=0,"","Не сходится поступление и отпуск")</f>
        <v/>
      </c>
    </row>
    <row r="5" spans="1:40" ht="12.75" customHeight="1">
      <c r="A5" s="1748" t="s">
        <v>297</v>
      </c>
      <c r="B5" s="1750" t="s">
        <v>269</v>
      </c>
      <c r="C5" s="1739" t="s">
        <v>899</v>
      </c>
      <c r="D5" s="1742"/>
      <c r="E5" s="1742"/>
      <c r="F5" s="1742"/>
      <c r="G5" s="1743"/>
      <c r="H5" s="1739" t="s">
        <v>900</v>
      </c>
      <c r="I5" s="1742"/>
      <c r="J5" s="1742"/>
      <c r="K5" s="1742"/>
      <c r="L5" s="1743"/>
      <c r="M5" s="1739" t="s">
        <v>1336</v>
      </c>
      <c r="N5" s="1742"/>
      <c r="O5" s="1742"/>
      <c r="P5" s="1742"/>
      <c r="Q5" s="1743"/>
      <c r="R5" s="1739" t="s">
        <v>923</v>
      </c>
      <c r="S5" s="1742"/>
      <c r="T5" s="1742"/>
      <c r="U5" s="1742"/>
      <c r="V5" s="1743"/>
      <c r="W5" s="1739" t="s">
        <v>1337</v>
      </c>
      <c r="X5" s="1742"/>
      <c r="Y5" s="1742"/>
      <c r="Z5" s="1742"/>
      <c r="AA5" s="1743"/>
      <c r="AB5" s="1739" t="s">
        <v>1376</v>
      </c>
      <c r="AC5" s="1740"/>
      <c r="AD5" s="1740"/>
      <c r="AE5" s="1740"/>
      <c r="AF5" s="1741"/>
    </row>
    <row r="6" spans="1:40" ht="13.5" thickBot="1">
      <c r="A6" s="1749"/>
      <c r="B6" s="1751"/>
      <c r="C6" s="128" t="s">
        <v>400</v>
      </c>
      <c r="D6" s="129" t="s">
        <v>384</v>
      </c>
      <c r="E6" s="129" t="s">
        <v>394</v>
      </c>
      <c r="F6" s="129" t="s">
        <v>395</v>
      </c>
      <c r="G6" s="130" t="s">
        <v>401</v>
      </c>
      <c r="H6" s="128" t="s">
        <v>400</v>
      </c>
      <c r="I6" s="129" t="s">
        <v>384</v>
      </c>
      <c r="J6" s="129" t="s">
        <v>394</v>
      </c>
      <c r="K6" s="129" t="s">
        <v>395</v>
      </c>
      <c r="L6" s="130" t="s">
        <v>401</v>
      </c>
      <c r="M6" s="128" t="s">
        <v>400</v>
      </c>
      <c r="N6" s="129" t="s">
        <v>384</v>
      </c>
      <c r="O6" s="129" t="s">
        <v>394</v>
      </c>
      <c r="P6" s="129" t="s">
        <v>395</v>
      </c>
      <c r="Q6" s="130" t="s">
        <v>401</v>
      </c>
      <c r="R6" s="128" t="s">
        <v>400</v>
      </c>
      <c r="S6" s="129" t="s">
        <v>384</v>
      </c>
      <c r="T6" s="129" t="s">
        <v>394</v>
      </c>
      <c r="U6" s="129" t="s">
        <v>395</v>
      </c>
      <c r="V6" s="130" t="s">
        <v>401</v>
      </c>
      <c r="W6" s="128" t="s">
        <v>400</v>
      </c>
      <c r="X6" s="129" t="s">
        <v>384</v>
      </c>
      <c r="Y6" s="129" t="s">
        <v>394</v>
      </c>
      <c r="Z6" s="129" t="s">
        <v>395</v>
      </c>
      <c r="AA6" s="130" t="s">
        <v>401</v>
      </c>
      <c r="AB6" s="128" t="s">
        <v>400</v>
      </c>
      <c r="AC6" s="129" t="s">
        <v>384</v>
      </c>
      <c r="AD6" s="129" t="s">
        <v>394</v>
      </c>
      <c r="AE6" s="129" t="s">
        <v>395</v>
      </c>
      <c r="AF6" s="130" t="s">
        <v>401</v>
      </c>
    </row>
    <row r="7" spans="1:40" ht="15.75" thickBot="1">
      <c r="A7" s="136" t="s">
        <v>250</v>
      </c>
      <c r="B7" s="137" t="s">
        <v>402</v>
      </c>
      <c r="C7" s="138"/>
      <c r="D7" s="146">
        <f>D19+D17+E9+F9+G9</f>
        <v>0</v>
      </c>
      <c r="E7" s="146">
        <f>E19+E17+F10+G10</f>
        <v>0</v>
      </c>
      <c r="F7" s="146">
        <f>F19+F17+G11</f>
        <v>28700.999999999996</v>
      </c>
      <c r="G7" s="139">
        <f>G19+G17</f>
        <v>17803.029499999997</v>
      </c>
      <c r="H7" s="138"/>
      <c r="I7" s="146">
        <f>I19+I17+J9+K9+L9</f>
        <v>0</v>
      </c>
      <c r="J7" s="146">
        <f>J19+J17+K10+L10</f>
        <v>0</v>
      </c>
      <c r="K7" s="146">
        <f>K19+K17+L11</f>
        <v>27162</v>
      </c>
      <c r="L7" s="139">
        <f>L19+L17</f>
        <v>17718.317954615828</v>
      </c>
      <c r="M7" s="138"/>
      <c r="N7" s="146">
        <f>N19+N17+O9+P9+Q9</f>
        <v>0</v>
      </c>
      <c r="O7" s="146">
        <f>O19+O17+P10+Q10</f>
        <v>0</v>
      </c>
      <c r="P7" s="146">
        <f>P19+P17+Q11</f>
        <v>29128</v>
      </c>
      <c r="Q7" s="139">
        <f>Q19+Q17</f>
        <v>18195.911357875921</v>
      </c>
      <c r="R7" s="138"/>
      <c r="S7" s="146">
        <f>S19+S17+T9+U9+V9</f>
        <v>3.563981044862885E-3</v>
      </c>
      <c r="T7" s="146">
        <f>T19+T17+U10+V10</f>
        <v>3.563981044862885E-3</v>
      </c>
      <c r="U7" s="146">
        <f>U19+U17+V11</f>
        <v>28707.003563981045</v>
      </c>
      <c r="V7" s="582">
        <f>V19+V17</f>
        <v>17809.476613904553</v>
      </c>
      <c r="W7" s="138"/>
      <c r="X7" s="146">
        <f>X19+X17+Y9+Z9+AA9</f>
        <v>0</v>
      </c>
      <c r="Y7" s="146">
        <f>Y19+Y17+Z10+AA10</f>
        <v>0</v>
      </c>
      <c r="Z7" s="146">
        <f>Z19+Z17+AA11</f>
        <v>29165.999999999996</v>
      </c>
      <c r="AA7" s="582">
        <f>AA19+AA17</f>
        <v>18268.731128653719</v>
      </c>
      <c r="AB7" s="138"/>
      <c r="AC7" s="146">
        <f>AC19+AC17+AD9+AE9+AF9</f>
        <v>0</v>
      </c>
      <c r="AD7" s="146">
        <f>AD19+AD17+AE10+AF10</f>
        <v>0</v>
      </c>
      <c r="AE7" s="146">
        <f>AE19+AE17+AF11</f>
        <v>28992</v>
      </c>
      <c r="AF7" s="582">
        <f>AF19+AF17</f>
        <v>18745.012122669046</v>
      </c>
    </row>
    <row r="8" spans="1:40" ht="26.25">
      <c r="A8" s="131" t="s">
        <v>403</v>
      </c>
      <c r="B8" s="132" t="s">
        <v>411</v>
      </c>
      <c r="C8" s="133"/>
      <c r="D8" s="147" t="s">
        <v>249</v>
      </c>
      <c r="E8" s="148">
        <f>E7-E12-E13</f>
        <v>0</v>
      </c>
      <c r="F8" s="148">
        <f>F7-F12-F13</f>
        <v>0</v>
      </c>
      <c r="G8" s="134">
        <f>G7-G12-G13</f>
        <v>17803.029499999997</v>
      </c>
      <c r="H8" s="133"/>
      <c r="I8" s="147" t="s">
        <v>249</v>
      </c>
      <c r="J8" s="148">
        <f>J7-J12-J13</f>
        <v>0</v>
      </c>
      <c r="K8" s="148">
        <f>K7-K12-K13</f>
        <v>0</v>
      </c>
      <c r="L8" s="134">
        <f>L7-L12-L13</f>
        <v>17718.317954615828</v>
      </c>
      <c r="M8" s="133"/>
      <c r="N8" s="147" t="s">
        <v>249</v>
      </c>
      <c r="O8" s="148">
        <f>O7-O12-O13</f>
        <v>0</v>
      </c>
      <c r="P8" s="148">
        <f>P7-P12-P13</f>
        <v>0</v>
      </c>
      <c r="Q8" s="134">
        <f>Q7-Q12-Q13</f>
        <v>18195.911357875921</v>
      </c>
      <c r="R8" s="133"/>
      <c r="S8" s="147" t="s">
        <v>249</v>
      </c>
      <c r="T8" s="148">
        <f>T7-T12-T13</f>
        <v>3.563981044862885E-3</v>
      </c>
      <c r="U8" s="148">
        <f>U7-U12-U13</f>
        <v>3.563981044862885E-3</v>
      </c>
      <c r="V8" s="134">
        <f>V7-V12-V13</f>
        <v>17809.476613904553</v>
      </c>
      <c r="W8" s="133"/>
      <c r="X8" s="147" t="s">
        <v>249</v>
      </c>
      <c r="Y8" s="148">
        <f>Y7-Y12-Y13</f>
        <v>0</v>
      </c>
      <c r="Z8" s="148">
        <f>Z7-Z12-Z13</f>
        <v>0</v>
      </c>
      <c r="AA8" s="1110">
        <f>AA7-AA12-AA13</f>
        <v>18268.731128653719</v>
      </c>
      <c r="AB8" s="133"/>
      <c r="AC8" s="147" t="s">
        <v>249</v>
      </c>
      <c r="AD8" s="148">
        <f>AD7-AD12-AD13</f>
        <v>0</v>
      </c>
      <c r="AE8" s="148">
        <f>AE7-AE12-AE13</f>
        <v>0</v>
      </c>
      <c r="AF8" s="1110">
        <f>AF7-AF12-AF13</f>
        <v>18745.012122669046</v>
      </c>
    </row>
    <row r="9" spans="1:40" ht="15">
      <c r="A9" s="92"/>
      <c r="B9" s="97" t="s">
        <v>384</v>
      </c>
      <c r="C9" s="95"/>
      <c r="D9" s="149" t="s">
        <v>249</v>
      </c>
      <c r="E9" s="150">
        <f>E8</f>
        <v>0</v>
      </c>
      <c r="F9" s="167"/>
      <c r="G9" s="168"/>
      <c r="H9" s="95"/>
      <c r="I9" s="149" t="s">
        <v>249</v>
      </c>
      <c r="J9" s="150">
        <f>J8</f>
        <v>0</v>
      </c>
      <c r="K9" s="167"/>
      <c r="L9" s="168"/>
      <c r="M9" s="95"/>
      <c r="N9" s="149" t="s">
        <v>249</v>
      </c>
      <c r="O9" s="150">
        <f>O8</f>
        <v>0</v>
      </c>
      <c r="P9" s="167"/>
      <c r="Q9" s="168"/>
      <c r="R9" s="95"/>
      <c r="S9" s="149" t="s">
        <v>249</v>
      </c>
      <c r="T9" s="150">
        <f>T8</f>
        <v>3.563981044862885E-3</v>
      </c>
      <c r="U9" s="167"/>
      <c r="V9" s="168"/>
      <c r="W9" s="95"/>
      <c r="X9" s="149" t="s">
        <v>249</v>
      </c>
      <c r="Y9" s="150">
        <f>Y8</f>
        <v>0</v>
      </c>
      <c r="Z9" s="167"/>
      <c r="AA9" s="1111"/>
      <c r="AB9" s="95"/>
      <c r="AC9" s="149" t="s">
        <v>249</v>
      </c>
      <c r="AD9" s="150">
        <f>AD8</f>
        <v>0</v>
      </c>
      <c r="AE9" s="167"/>
      <c r="AF9" s="1111"/>
    </row>
    <row r="10" spans="1:40" ht="15">
      <c r="A10" s="92"/>
      <c r="B10" s="97" t="s">
        <v>394</v>
      </c>
      <c r="C10" s="95"/>
      <c r="D10" s="149" t="s">
        <v>249</v>
      </c>
      <c r="E10" s="149" t="s">
        <v>249</v>
      </c>
      <c r="F10" s="150">
        <f>F8-F9</f>
        <v>0</v>
      </c>
      <c r="G10" s="168"/>
      <c r="H10" s="95"/>
      <c r="I10" s="149" t="s">
        <v>249</v>
      </c>
      <c r="J10" s="149" t="s">
        <v>249</v>
      </c>
      <c r="K10" s="150">
        <f>K8-K9</f>
        <v>0</v>
      </c>
      <c r="L10" s="168"/>
      <c r="M10" s="95"/>
      <c r="N10" s="149" t="s">
        <v>249</v>
      </c>
      <c r="O10" s="149" t="s">
        <v>249</v>
      </c>
      <c r="P10" s="150">
        <f>P8-P9</f>
        <v>0</v>
      </c>
      <c r="Q10" s="168"/>
      <c r="R10" s="95"/>
      <c r="S10" s="149" t="s">
        <v>249</v>
      </c>
      <c r="T10" s="149" t="s">
        <v>249</v>
      </c>
      <c r="U10" s="150">
        <f>U8-U9</f>
        <v>3.563981044862885E-3</v>
      </c>
      <c r="V10" s="168"/>
      <c r="W10" s="95"/>
      <c r="X10" s="149" t="s">
        <v>249</v>
      </c>
      <c r="Y10" s="149" t="s">
        <v>249</v>
      </c>
      <c r="Z10" s="150">
        <f>Z8-Z9</f>
        <v>0</v>
      </c>
      <c r="AA10" s="1111"/>
      <c r="AB10" s="95"/>
      <c r="AC10" s="149" t="s">
        <v>249</v>
      </c>
      <c r="AD10" s="149" t="s">
        <v>249</v>
      </c>
      <c r="AE10" s="150">
        <f>AE8-AE9</f>
        <v>0</v>
      </c>
      <c r="AF10" s="1111"/>
    </row>
    <row r="11" spans="1:40" ht="15.75" thickBot="1">
      <c r="A11" s="135"/>
      <c r="B11" s="99" t="s">
        <v>395</v>
      </c>
      <c r="C11" s="96"/>
      <c r="D11" s="151" t="s">
        <v>249</v>
      </c>
      <c r="E11" s="151" t="s">
        <v>249</v>
      </c>
      <c r="F11" s="151" t="s">
        <v>249</v>
      </c>
      <c r="G11" s="94">
        <f>G8-G9-G10</f>
        <v>17803.029499999997</v>
      </c>
      <c r="H11" s="96"/>
      <c r="I11" s="151" t="s">
        <v>249</v>
      </c>
      <c r="J11" s="151" t="s">
        <v>249</v>
      </c>
      <c r="K11" s="151" t="s">
        <v>249</v>
      </c>
      <c r="L11" s="94">
        <f>L8-L9-L10</f>
        <v>17718.317954615828</v>
      </c>
      <c r="M11" s="96"/>
      <c r="N11" s="151" t="s">
        <v>249</v>
      </c>
      <c r="O11" s="151" t="s">
        <v>249</v>
      </c>
      <c r="P11" s="151" t="s">
        <v>249</v>
      </c>
      <c r="Q11" s="94">
        <f>Q8-Q9-Q10</f>
        <v>18195.911357875921</v>
      </c>
      <c r="R11" s="96"/>
      <c r="S11" s="151" t="s">
        <v>249</v>
      </c>
      <c r="T11" s="151" t="s">
        <v>249</v>
      </c>
      <c r="U11" s="151" t="s">
        <v>249</v>
      </c>
      <c r="V11" s="94">
        <f>V8-V9-V10</f>
        <v>17809.476613904553</v>
      </c>
      <c r="W11" s="96"/>
      <c r="X11" s="151" t="s">
        <v>249</v>
      </c>
      <c r="Y11" s="151" t="s">
        <v>249</v>
      </c>
      <c r="Z11" s="151" t="s">
        <v>249</v>
      </c>
      <c r="AA11" s="1112">
        <f>AA8-AA9-AA10</f>
        <v>18268.731128653719</v>
      </c>
      <c r="AB11" s="96"/>
      <c r="AC11" s="151" t="s">
        <v>249</v>
      </c>
      <c r="AD11" s="151" t="s">
        <v>249</v>
      </c>
      <c r="AE11" s="151" t="s">
        <v>249</v>
      </c>
      <c r="AF11" s="1112">
        <f>AF8-AF9-AF10</f>
        <v>18745.012122669046</v>
      </c>
    </row>
    <row r="12" spans="1:40" ht="15">
      <c r="A12" s="131" t="s">
        <v>404</v>
      </c>
      <c r="B12" s="132" t="s">
        <v>412</v>
      </c>
      <c r="C12" s="140">
        <f t="shared" ref="C12:C17" si="0">D12+E12+F12+G12</f>
        <v>0</v>
      </c>
      <c r="D12" s="171"/>
      <c r="E12" s="171"/>
      <c r="F12" s="171"/>
      <c r="G12" s="172"/>
      <c r="H12" s="140">
        <f t="shared" ref="H12:H17" si="1">I12+J12+K12+L12</f>
        <v>0</v>
      </c>
      <c r="I12" s="171"/>
      <c r="J12" s="171"/>
      <c r="K12" s="171"/>
      <c r="L12" s="172"/>
      <c r="M12" s="140">
        <f t="shared" ref="M12:M17" si="2">N12+O12+P12+Q12</f>
        <v>0</v>
      </c>
      <c r="N12" s="171"/>
      <c r="O12" s="171"/>
      <c r="P12" s="171"/>
      <c r="Q12" s="172"/>
      <c r="R12" s="140">
        <f t="shared" ref="R12:R17" si="3">S12+T12+U12+V12</f>
        <v>0</v>
      </c>
      <c r="S12" s="171"/>
      <c r="T12" s="171"/>
      <c r="U12" s="171"/>
      <c r="V12" s="172"/>
      <c r="W12" s="140">
        <f t="shared" ref="W12:W17" si="4">X12+Y12+Z12+AA12</f>
        <v>0</v>
      </c>
      <c r="X12" s="171"/>
      <c r="Y12" s="171"/>
      <c r="Z12" s="171"/>
      <c r="AA12" s="172"/>
      <c r="AB12" s="140">
        <f t="shared" ref="AB12:AB17" si="5">AC12+AD12+AE12+AF12</f>
        <v>0</v>
      </c>
      <c r="AC12" s="171"/>
      <c r="AD12" s="171"/>
      <c r="AE12" s="171"/>
      <c r="AF12" s="172"/>
    </row>
    <row r="13" spans="1:40" ht="15">
      <c r="A13" s="92" t="s">
        <v>405</v>
      </c>
      <c r="B13" s="97" t="s">
        <v>489</v>
      </c>
      <c r="C13" s="141">
        <f t="shared" si="0"/>
        <v>28701</v>
      </c>
      <c r="D13" s="579">
        <f>D14+D15+D16</f>
        <v>0</v>
      </c>
      <c r="E13" s="579">
        <f>E14+E15+E16</f>
        <v>0</v>
      </c>
      <c r="F13" s="579">
        <f>F14+F15+F16</f>
        <v>28701</v>
      </c>
      <c r="G13" s="580">
        <f>G14+G15+G16</f>
        <v>0</v>
      </c>
      <c r="H13" s="141">
        <f t="shared" si="1"/>
        <v>27162</v>
      </c>
      <c r="I13" s="579">
        <f>I14+I15+I16</f>
        <v>0</v>
      </c>
      <c r="J13" s="579">
        <f>J14+J15+J16</f>
        <v>0</v>
      </c>
      <c r="K13" s="579">
        <f>K14+K15+K16</f>
        <v>27162</v>
      </c>
      <c r="L13" s="580">
        <f>L14+L15+L16</f>
        <v>0</v>
      </c>
      <c r="M13" s="141">
        <f t="shared" si="2"/>
        <v>29128</v>
      </c>
      <c r="N13" s="579">
        <f>N14+N15+N16</f>
        <v>0</v>
      </c>
      <c r="O13" s="579">
        <f>O14+O15+O16</f>
        <v>0</v>
      </c>
      <c r="P13" s="579">
        <f>P14+P15+P16</f>
        <v>29128</v>
      </c>
      <c r="Q13" s="580">
        <f>Q14+Q15+Q16</f>
        <v>0</v>
      </c>
      <c r="R13" s="141">
        <f t="shared" si="3"/>
        <v>28707</v>
      </c>
      <c r="S13" s="579">
        <f>S14+S15+S16</f>
        <v>0</v>
      </c>
      <c r="T13" s="579">
        <f>T14+T15+T16</f>
        <v>0</v>
      </c>
      <c r="U13" s="579">
        <f>U14+U15+U16</f>
        <v>28707</v>
      </c>
      <c r="V13" s="580">
        <f>V14+V15+V16</f>
        <v>0</v>
      </c>
      <c r="W13" s="141">
        <f t="shared" si="4"/>
        <v>29166</v>
      </c>
      <c r="X13" s="579">
        <f>X14+X15+X16</f>
        <v>0</v>
      </c>
      <c r="Y13" s="579">
        <f>Y14+Y15+Y16</f>
        <v>0</v>
      </c>
      <c r="Z13" s="579">
        <f>Z14+Z15+Z16</f>
        <v>29166</v>
      </c>
      <c r="AA13" s="580">
        <f>AA14+AA15+AA16</f>
        <v>0</v>
      </c>
      <c r="AB13" s="141">
        <f t="shared" si="5"/>
        <v>28991.999999999996</v>
      </c>
      <c r="AC13" s="579">
        <f>AC14+AC15+AC16</f>
        <v>0</v>
      </c>
      <c r="AD13" s="579">
        <f>AD14+AD15+AD16</f>
        <v>0</v>
      </c>
      <c r="AE13" s="579">
        <f>AE14+AE15+AE16</f>
        <v>28991.999999999996</v>
      </c>
      <c r="AF13" s="580">
        <f>AF14+AF15+AF16</f>
        <v>0</v>
      </c>
      <c r="AM13" s="83">
        <v>8.4422429615818242</v>
      </c>
      <c r="AN13" s="83">
        <v>16.378524622408445</v>
      </c>
    </row>
    <row r="14" spans="1:40" ht="19.5" customHeight="1">
      <c r="A14" s="92" t="s">
        <v>448</v>
      </c>
      <c r="B14" s="169" t="s">
        <v>491</v>
      </c>
      <c r="C14" s="141">
        <f t="shared" si="0"/>
        <v>0</v>
      </c>
      <c r="D14" s="573"/>
      <c r="E14" s="573"/>
      <c r="F14" s="573"/>
      <c r="G14" s="574"/>
      <c r="H14" s="141">
        <f t="shared" si="1"/>
        <v>0</v>
      </c>
      <c r="I14" s="573"/>
      <c r="J14" s="573"/>
      <c r="K14" s="573"/>
      <c r="L14" s="574"/>
      <c r="M14" s="141">
        <f t="shared" si="2"/>
        <v>0</v>
      </c>
      <c r="N14" s="573"/>
      <c r="O14" s="573"/>
      <c r="P14" s="573"/>
      <c r="Q14" s="574"/>
      <c r="R14" s="141">
        <f t="shared" si="3"/>
        <v>0</v>
      </c>
      <c r="S14" s="573"/>
      <c r="T14" s="573"/>
      <c r="U14" s="573"/>
      <c r="V14" s="574"/>
      <c r="W14" s="141">
        <f t="shared" si="4"/>
        <v>0</v>
      </c>
      <c r="X14" s="573"/>
      <c r="Y14" s="573"/>
      <c r="Z14" s="573"/>
      <c r="AA14" s="574"/>
      <c r="AB14" s="141">
        <f t="shared" si="5"/>
        <v>0</v>
      </c>
      <c r="AC14" s="573"/>
      <c r="AD14" s="573"/>
      <c r="AE14" s="573"/>
      <c r="AF14" s="574"/>
    </row>
    <row r="15" spans="1:40" ht="24.75" customHeight="1">
      <c r="A15" s="92" t="s">
        <v>449</v>
      </c>
      <c r="B15" s="169" t="s">
        <v>490</v>
      </c>
      <c r="C15" s="141">
        <f t="shared" si="0"/>
        <v>22928</v>
      </c>
      <c r="D15" s="573"/>
      <c r="E15" s="573"/>
      <c r="F15" s="634">
        <v>22928</v>
      </c>
      <c r="G15" s="625"/>
      <c r="H15" s="141">
        <f t="shared" si="1"/>
        <v>22548</v>
      </c>
      <c r="I15" s="573"/>
      <c r="J15" s="573"/>
      <c r="K15" s="634">
        <v>22548</v>
      </c>
      <c r="L15" s="625"/>
      <c r="M15" s="141">
        <f t="shared" si="2"/>
        <v>23688</v>
      </c>
      <c r="N15" s="573"/>
      <c r="O15" s="573"/>
      <c r="P15" s="634">
        <v>23688</v>
      </c>
      <c r="Q15" s="625"/>
      <c r="R15" s="141">
        <f t="shared" si="3"/>
        <v>22933</v>
      </c>
      <c r="S15" s="573"/>
      <c r="T15" s="573"/>
      <c r="U15" s="609">
        <f>22.933*1000</f>
        <v>22933</v>
      </c>
      <c r="V15" s="625"/>
      <c r="W15" s="141">
        <f t="shared" si="4"/>
        <v>23721</v>
      </c>
      <c r="X15" s="573"/>
      <c r="Y15" s="573"/>
      <c r="Z15" s="609">
        <v>23721</v>
      </c>
      <c r="AA15" s="625"/>
      <c r="AB15" s="141">
        <f t="shared" si="5"/>
        <v>23912.699999999997</v>
      </c>
      <c r="AC15" s="573"/>
      <c r="AD15" s="573"/>
      <c r="AE15" s="609">
        <f>'Информация о согл. объемах'!E31*1000</f>
        <v>23912.699999999997</v>
      </c>
      <c r="AF15" s="625"/>
    </row>
    <row r="16" spans="1:40" ht="15.75" thickBot="1">
      <c r="A16" s="135" t="s">
        <v>450</v>
      </c>
      <c r="B16" s="170" t="s">
        <v>492</v>
      </c>
      <c r="C16" s="142">
        <f t="shared" si="0"/>
        <v>5773.0000000000009</v>
      </c>
      <c r="D16" s="575"/>
      <c r="E16" s="575"/>
      <c r="F16" s="626">
        <v>5773.0000000000009</v>
      </c>
      <c r="G16" s="627"/>
      <c r="H16" s="142">
        <f t="shared" si="1"/>
        <v>4614</v>
      </c>
      <c r="I16" s="575"/>
      <c r="J16" s="575"/>
      <c r="K16" s="626">
        <v>4614</v>
      </c>
      <c r="L16" s="627"/>
      <c r="M16" s="142">
        <f t="shared" si="2"/>
        <v>5440</v>
      </c>
      <c r="N16" s="575"/>
      <c r="O16" s="575"/>
      <c r="P16" s="626">
        <v>5440</v>
      </c>
      <c r="Q16" s="627"/>
      <c r="R16" s="142">
        <f t="shared" si="3"/>
        <v>5774</v>
      </c>
      <c r="S16" s="575"/>
      <c r="T16" s="575"/>
      <c r="U16" s="620">
        <v>5774</v>
      </c>
      <c r="V16" s="627"/>
      <c r="W16" s="142">
        <f t="shared" si="4"/>
        <v>5445</v>
      </c>
      <c r="X16" s="575"/>
      <c r="Y16" s="575"/>
      <c r="Z16" s="620">
        <v>5445</v>
      </c>
      <c r="AA16" s="627"/>
      <c r="AB16" s="142">
        <f t="shared" si="5"/>
        <v>5079.2999999999993</v>
      </c>
      <c r="AC16" s="575"/>
      <c r="AD16" s="575"/>
      <c r="AE16" s="620">
        <f>('Информация о согл. объемах'!G31++++++++++'Информация о согл. объемах'!I31+'Информация о согл. объемах'!K31+'Информация о согл. объемах'!M31)*1000</f>
        <v>5079.2999999999993</v>
      </c>
      <c r="AF16" s="627"/>
      <c r="AN16" s="83">
        <f>'Информация о согл. объемах'!E11*1000</f>
        <v>5696.7999999999993</v>
      </c>
    </row>
    <row r="17" spans="1:41" ht="15">
      <c r="A17" s="131" t="s">
        <v>246</v>
      </c>
      <c r="B17" s="132" t="s">
        <v>406</v>
      </c>
      <c r="C17" s="140">
        <f t="shared" si="0"/>
        <v>6330.0039999999999</v>
      </c>
      <c r="D17" s="576"/>
      <c r="E17" s="576"/>
      <c r="F17" s="628">
        <v>2422.9704999999999</v>
      </c>
      <c r="G17" s="629">
        <v>3907.0335</v>
      </c>
      <c r="H17" s="140">
        <f t="shared" si="1"/>
        <v>4555</v>
      </c>
      <c r="I17" s="576"/>
      <c r="J17" s="576"/>
      <c r="K17" s="628">
        <v>1583.6820453841738</v>
      </c>
      <c r="L17" s="629">
        <v>2971.3179546158262</v>
      </c>
      <c r="M17" s="140">
        <f t="shared" si="2"/>
        <v>6474</v>
      </c>
      <c r="N17" s="576"/>
      <c r="O17" s="576"/>
      <c r="P17" s="628">
        <v>2478.0886421240807</v>
      </c>
      <c r="Q17" s="629">
        <v>3995.9113578759188</v>
      </c>
      <c r="R17" s="140">
        <f t="shared" si="3"/>
        <v>5640.003563981043</v>
      </c>
      <c r="S17" s="576"/>
      <c r="T17" s="576"/>
      <c r="U17" s="614">
        <v>2158.8552322274882</v>
      </c>
      <c r="V17" s="629">
        <v>3481.1483317535544</v>
      </c>
      <c r="W17" s="140">
        <f t="shared" si="4"/>
        <v>5731.0000000000009</v>
      </c>
      <c r="X17" s="576"/>
      <c r="Y17" s="576"/>
      <c r="Z17" s="614">
        <v>2141.2688713462776</v>
      </c>
      <c r="AA17" s="629">
        <v>3589.7311286537233</v>
      </c>
      <c r="AB17" s="140">
        <f t="shared" si="5"/>
        <v>5696.7999999999993</v>
      </c>
      <c r="AC17" s="576"/>
      <c r="AD17" s="576"/>
      <c r="AE17" s="614">
        <f>AM17*AN19</f>
        <v>2013.4878773309522</v>
      </c>
      <c r="AF17" s="629">
        <f>AN17*AN19</f>
        <v>3683.3121226690473</v>
      </c>
      <c r="AM17" s="83">
        <v>0.35344191077990317</v>
      </c>
      <c r="AN17" s="1469">
        <v>0.64655808922009683</v>
      </c>
    </row>
    <row r="18" spans="1:41" ht="15.75" thickBot="1">
      <c r="A18" s="135"/>
      <c r="B18" s="99" t="s">
        <v>413</v>
      </c>
      <c r="C18" s="144" t="str">
        <f>IF(C7=0,"",C17/C7)</f>
        <v/>
      </c>
      <c r="D18" s="143">
        <f>IF(D7=0,0,D17/D7)</f>
        <v>0</v>
      </c>
      <c r="E18" s="143">
        <f>IF(E7=0,0,E17/E7)</f>
        <v>0</v>
      </c>
      <c r="F18" s="143">
        <f>IF(F7=0,0,F17/F7)</f>
        <v>8.4421117731089512E-2</v>
      </c>
      <c r="G18" s="145">
        <f>IF(G7=0,0,G17/G7)</f>
        <v>0.21945891287772121</v>
      </c>
      <c r="H18" s="144" t="str">
        <f>IF(H7=0,"",H17/H7)</f>
        <v/>
      </c>
      <c r="I18" s="143">
        <f>IF(I7=0,0,I17/I7)</f>
        <v>0</v>
      </c>
      <c r="J18" s="143">
        <f>IF(J7=0,0,J17/J7)</f>
        <v>0</v>
      </c>
      <c r="K18" s="143">
        <f>IF(K7=0,0,K17/K7)</f>
        <v>5.8305060208533016E-2</v>
      </c>
      <c r="L18" s="145">
        <f>IF(L7=0,0,L17/L7)</f>
        <v>0.16769751859215073</v>
      </c>
      <c r="M18" s="144" t="str">
        <f>IF(M7=0,"",M17/M7)</f>
        <v/>
      </c>
      <c r="N18" s="143">
        <f>IF(N7=0,0,N17/N7)</f>
        <v>0</v>
      </c>
      <c r="O18" s="143">
        <f>IF(O7=0,0,O17/O7)</f>
        <v>0</v>
      </c>
      <c r="P18" s="143">
        <f>IF(P7=0,0,P17/P7)</f>
        <v>8.5075825395635837E-2</v>
      </c>
      <c r="Q18" s="145">
        <f>IF(Q7=0,0,Q17/Q7)</f>
        <v>0.2196049035019248</v>
      </c>
      <c r="R18" s="144" t="str">
        <f>IF(R7=0,"",R17/R7)</f>
        <v/>
      </c>
      <c r="S18" s="143">
        <f>IF(S7=0,0,S17/S7)</f>
        <v>0</v>
      </c>
      <c r="T18" s="143">
        <f>IF(T7=0,0,T17/T7)</f>
        <v>0</v>
      </c>
      <c r="U18" s="143">
        <f>IF(U7=0,0,U17/U7)</f>
        <v>7.5203085108340062E-2</v>
      </c>
      <c r="V18" s="1097">
        <f>IF(V7=0,0,V17/V7)</f>
        <v>0.19546606602889643</v>
      </c>
      <c r="W18" s="144" t="str">
        <f>IF(W7=0,"",W17/W7)</f>
        <v/>
      </c>
      <c r="X18" s="143">
        <f>IF(X7=0,0,X17/X7)</f>
        <v>0</v>
      </c>
      <c r="Y18" s="143">
        <f>IF(Y7=0,0,Y17/Y7)</f>
        <v>0</v>
      </c>
      <c r="Z18" s="143">
        <f>IF(Z7=0,0,Z17/Z7)</f>
        <v>7.3416610825834117E-2</v>
      </c>
      <c r="AA18" s="1097">
        <f>IF(AA7=0,0,AA17/AA7)</f>
        <v>0.19649591990674078</v>
      </c>
      <c r="AB18" s="144" t="str">
        <f>IF(AB7=0,"",AB17/AB7)</f>
        <v/>
      </c>
      <c r="AC18" s="143">
        <f>IF(AC7=0,0,AC17/AC7)</f>
        <v>0</v>
      </c>
      <c r="AD18" s="143">
        <f>IF(AD7=0,0,AD17/AD7)</f>
        <v>0</v>
      </c>
      <c r="AE18" s="143">
        <f>IF(AE7=0,0,AE17/AE7)</f>
        <v>6.9449775018313745E-2</v>
      </c>
      <c r="AF18" s="1097">
        <f>IF(AF7=0,0,AF17/AF7)</f>
        <v>0.19649558498896247</v>
      </c>
      <c r="AN18" s="1109"/>
    </row>
    <row r="19" spans="1:41" ht="15">
      <c r="A19" s="131" t="s">
        <v>251</v>
      </c>
      <c r="B19" s="132" t="s">
        <v>407</v>
      </c>
      <c r="C19" s="140">
        <f t="shared" ref="C19:C32" si="6">D19+E19+F19+G19</f>
        <v>22370.995999999999</v>
      </c>
      <c r="D19" s="577">
        <f>D20+D24+D28+D29</f>
        <v>0</v>
      </c>
      <c r="E19" s="577">
        <f>E20+E24+E28+E29</f>
        <v>0</v>
      </c>
      <c r="F19" s="577">
        <f>F20+F24+F28+F29</f>
        <v>8475</v>
      </c>
      <c r="G19" s="578">
        <f>G20+G24+G28+G29</f>
        <v>13895.995999999997</v>
      </c>
      <c r="H19" s="140">
        <f t="shared" ref="H19:H32" si="7">I19+J19+K19+L19</f>
        <v>22607</v>
      </c>
      <c r="I19" s="577">
        <f>I20+I24+I28+I29</f>
        <v>0</v>
      </c>
      <c r="J19" s="577">
        <f>J20+J24+J28+J29</f>
        <v>0</v>
      </c>
      <c r="K19" s="577">
        <f>K20+K24+K28+K29</f>
        <v>7860</v>
      </c>
      <c r="L19" s="578">
        <f>L20+L24+L28+L29</f>
        <v>14747</v>
      </c>
      <c r="M19" s="140">
        <f t="shared" ref="M19:M32" si="8">N19+O19+P19+Q19</f>
        <v>22654</v>
      </c>
      <c r="N19" s="577">
        <f>N20+N24+N28+N29</f>
        <v>0</v>
      </c>
      <c r="O19" s="577">
        <f>O20+O24+O28+O29</f>
        <v>0</v>
      </c>
      <c r="P19" s="577">
        <f>P20+P24+P28+P29</f>
        <v>8454</v>
      </c>
      <c r="Q19" s="578">
        <f>Q20+Q24+Q28+Q29</f>
        <v>14200</v>
      </c>
      <c r="R19" s="140">
        <f t="shared" ref="R19:R32" si="9">S19+T19+U19+V19</f>
        <v>23067</v>
      </c>
      <c r="S19" s="577">
        <f>S20+S24+S28+S29</f>
        <v>0</v>
      </c>
      <c r="T19" s="577">
        <f>T20+T24+T28+T29</f>
        <v>0</v>
      </c>
      <c r="U19" s="577">
        <f>U20+U24+U28+U29</f>
        <v>8738.6717178490017</v>
      </c>
      <c r="V19" s="578">
        <f>V20+V24+V28+V29</f>
        <v>14328.328282150998</v>
      </c>
      <c r="W19" s="140">
        <f t="shared" ref="W19:W32" si="10">X19+Y19+Z19+AA19</f>
        <v>23434.999999999993</v>
      </c>
      <c r="X19" s="577">
        <f>X20+X24+X28+X29</f>
        <v>0</v>
      </c>
      <c r="Y19" s="577">
        <f>Y20+Y24+Y28+Y29</f>
        <v>0</v>
      </c>
      <c r="Z19" s="577">
        <f>Z20+Z24+Z28+Z29</f>
        <v>8756</v>
      </c>
      <c r="AA19" s="578">
        <f>AA20+AA24+AA28+AA29</f>
        <v>14678.999999999995</v>
      </c>
      <c r="AB19" s="140">
        <f t="shared" ref="AB19:AB32" si="11">AC19+AD19+AE19+AF19</f>
        <v>23295.200000000001</v>
      </c>
      <c r="AC19" s="577">
        <f>AC20+AC24+AC28+AC29</f>
        <v>0</v>
      </c>
      <c r="AD19" s="577">
        <f>AD20+AD24+AD28+AD29</f>
        <v>0</v>
      </c>
      <c r="AE19" s="577">
        <f>AE20+AE24+AE28+AE29</f>
        <v>8233.5</v>
      </c>
      <c r="AF19" s="578">
        <f>AF20+AF24+AF28+AF29</f>
        <v>15061.7</v>
      </c>
      <c r="AN19" s="1109">
        <f>'Информация о согл. объемах'!E11*1000</f>
        <v>5696.7999999999993</v>
      </c>
    </row>
    <row r="20" spans="1:41" ht="39">
      <c r="A20" s="92" t="s">
        <v>414</v>
      </c>
      <c r="B20" s="97" t="s">
        <v>451</v>
      </c>
      <c r="C20" s="141">
        <f t="shared" si="6"/>
        <v>22370.995999999999</v>
      </c>
      <c r="D20" s="579">
        <f>D21+D22+D23</f>
        <v>0</v>
      </c>
      <c r="E20" s="579">
        <f>E21+E22+E23</f>
        <v>0</v>
      </c>
      <c r="F20" s="579">
        <f>F21+F22+F23</f>
        <v>8475</v>
      </c>
      <c r="G20" s="580">
        <f>G21+G22+G23</f>
        <v>13895.995999999997</v>
      </c>
      <c r="H20" s="141">
        <f t="shared" si="7"/>
        <v>22607</v>
      </c>
      <c r="I20" s="579">
        <f>I21+I22+I23</f>
        <v>0</v>
      </c>
      <c r="J20" s="579">
        <f>J21+J22+J23</f>
        <v>0</v>
      </c>
      <c r="K20" s="579">
        <f>K21+K22+K23</f>
        <v>7860</v>
      </c>
      <c r="L20" s="580">
        <f>L21+L22+L23</f>
        <v>14747</v>
      </c>
      <c r="M20" s="141">
        <f t="shared" si="8"/>
        <v>22654</v>
      </c>
      <c r="N20" s="579">
        <f>N21+N22+N23</f>
        <v>0</v>
      </c>
      <c r="O20" s="579">
        <f>O21+O22+O23</f>
        <v>0</v>
      </c>
      <c r="P20" s="579">
        <f>P21+P22+P23</f>
        <v>8454</v>
      </c>
      <c r="Q20" s="580">
        <f>Q21+Q22+Q23</f>
        <v>14200</v>
      </c>
      <c r="R20" s="141">
        <f t="shared" si="9"/>
        <v>23067</v>
      </c>
      <c r="S20" s="579">
        <f>S21+S22+S23</f>
        <v>0</v>
      </c>
      <c r="T20" s="579">
        <f>T21+T22+T23</f>
        <v>0</v>
      </c>
      <c r="U20" s="579">
        <f>U21+U22+U23</f>
        <v>8738.6717178490017</v>
      </c>
      <c r="V20" s="580">
        <f>V21+V22+V23</f>
        <v>14328.328282150998</v>
      </c>
      <c r="W20" s="141">
        <f t="shared" si="10"/>
        <v>23434.999999999993</v>
      </c>
      <c r="X20" s="579">
        <f>X21+X22+X23</f>
        <v>0</v>
      </c>
      <c r="Y20" s="579">
        <f>Y21+Y22+Y23</f>
        <v>0</v>
      </c>
      <c r="Z20" s="579">
        <f>Z21+Z22+Z23</f>
        <v>8756</v>
      </c>
      <c r="AA20" s="580">
        <f>AA21+AA22+AA23</f>
        <v>14678.999999999995</v>
      </c>
      <c r="AB20" s="141">
        <f t="shared" si="11"/>
        <v>23295.200000000001</v>
      </c>
      <c r="AC20" s="579">
        <f>AC21+AC22+AC23</f>
        <v>0</v>
      </c>
      <c r="AD20" s="579">
        <f>AD21+AD22+AD23</f>
        <v>0</v>
      </c>
      <c r="AE20" s="579">
        <f>AE21+AE22+AE23</f>
        <v>8233.5</v>
      </c>
      <c r="AF20" s="580">
        <f>AF21+AF22+AF23</f>
        <v>15061.7</v>
      </c>
      <c r="AM20" s="83">
        <f>AE21/AB21</f>
        <v>0.35344191077990317</v>
      </c>
      <c r="AN20" s="1469">
        <f>AF21/AB21</f>
        <v>0.64655808922009683</v>
      </c>
      <c r="AO20" s="83">
        <f>AM20+AN20</f>
        <v>1</v>
      </c>
    </row>
    <row r="21" spans="1:41" ht="15">
      <c r="A21" s="126" t="s">
        <v>439</v>
      </c>
      <c r="B21" s="169" t="s">
        <v>4</v>
      </c>
      <c r="C21" s="141">
        <f t="shared" si="6"/>
        <v>22370.995999999999</v>
      </c>
      <c r="D21" s="573"/>
      <c r="E21" s="573"/>
      <c r="F21" s="634">
        <v>8475</v>
      </c>
      <c r="G21" s="625">
        <v>13895.995999999997</v>
      </c>
      <c r="H21" s="141">
        <f t="shared" si="7"/>
        <v>22607</v>
      </c>
      <c r="I21" s="573"/>
      <c r="J21" s="573"/>
      <c r="K21" s="634">
        <v>7860</v>
      </c>
      <c r="L21" s="625">
        <v>14747</v>
      </c>
      <c r="M21" s="141">
        <f t="shared" si="8"/>
        <v>22654</v>
      </c>
      <c r="N21" s="573"/>
      <c r="O21" s="573"/>
      <c r="P21" s="634">
        <v>8454</v>
      </c>
      <c r="Q21" s="625">
        <v>14200</v>
      </c>
      <c r="R21" s="141">
        <f t="shared" si="9"/>
        <v>23067</v>
      </c>
      <c r="S21" s="573"/>
      <c r="T21" s="573"/>
      <c r="U21" s="573">
        <v>8738.6717178490017</v>
      </c>
      <c r="V21" s="574">
        <v>14328.328282150998</v>
      </c>
      <c r="W21" s="141">
        <f t="shared" si="10"/>
        <v>23434.999999999993</v>
      </c>
      <c r="X21" s="573"/>
      <c r="Y21" s="573"/>
      <c r="Z21" s="573">
        <v>8756</v>
      </c>
      <c r="AA21" s="574">
        <v>14678.999999999995</v>
      </c>
      <c r="AB21" s="141">
        <f t="shared" si="11"/>
        <v>23295.200000000001</v>
      </c>
      <c r="AC21" s="573"/>
      <c r="AD21" s="573"/>
      <c r="AE21" s="573">
        <f>'Информация о согл. объемах'!E73*1000</f>
        <v>8233.5</v>
      </c>
      <c r="AF21" s="574">
        <f>'Информация о согл. объемах'!E76*1000</f>
        <v>15061.7</v>
      </c>
      <c r="AK21" s="1109">
        <f>AA21+Z21+Z17+AA17</f>
        <v>29165.999999999993</v>
      </c>
      <c r="AL21" s="1113">
        <f>Z21+AA21</f>
        <v>23434.999999999993</v>
      </c>
    </row>
    <row r="22" spans="1:41" ht="15">
      <c r="A22" s="126" t="s">
        <v>440</v>
      </c>
      <c r="B22" s="169" t="s">
        <v>493</v>
      </c>
      <c r="C22" s="141">
        <f t="shared" si="6"/>
        <v>0</v>
      </c>
      <c r="D22" s="573"/>
      <c r="E22" s="573"/>
      <c r="F22" s="573"/>
      <c r="G22" s="574"/>
      <c r="H22" s="141">
        <f t="shared" si="7"/>
        <v>0</v>
      </c>
      <c r="I22" s="573"/>
      <c r="J22" s="573"/>
      <c r="K22" s="573"/>
      <c r="L22" s="574"/>
      <c r="M22" s="141">
        <f t="shared" si="8"/>
        <v>0</v>
      </c>
      <c r="N22" s="573"/>
      <c r="O22" s="573"/>
      <c r="P22" s="573"/>
      <c r="Q22" s="574"/>
      <c r="R22" s="141">
        <f t="shared" si="9"/>
        <v>0</v>
      </c>
      <c r="S22" s="573"/>
      <c r="T22" s="573"/>
      <c r="U22" s="573"/>
      <c r="V22" s="574"/>
      <c r="W22" s="141">
        <f t="shared" si="10"/>
        <v>0</v>
      </c>
      <c r="X22" s="573"/>
      <c r="Y22" s="573"/>
      <c r="Z22" s="573"/>
      <c r="AA22" s="574"/>
      <c r="AB22" s="141">
        <f t="shared" si="11"/>
        <v>0</v>
      </c>
      <c r="AC22" s="573"/>
      <c r="AD22" s="573"/>
      <c r="AE22" s="573"/>
      <c r="AF22" s="574"/>
    </row>
    <row r="23" spans="1:41" ht="15">
      <c r="A23" s="126" t="s">
        <v>441</v>
      </c>
      <c r="B23" s="169" t="s">
        <v>500</v>
      </c>
      <c r="C23" s="141">
        <f t="shared" si="6"/>
        <v>0</v>
      </c>
      <c r="D23" s="573"/>
      <c r="E23" s="573"/>
      <c r="F23" s="573"/>
      <c r="G23" s="574"/>
      <c r="H23" s="141">
        <f t="shared" si="7"/>
        <v>0</v>
      </c>
      <c r="I23" s="573"/>
      <c r="J23" s="573"/>
      <c r="K23" s="573"/>
      <c r="L23" s="574"/>
      <c r="M23" s="141">
        <f t="shared" si="8"/>
        <v>0</v>
      </c>
      <c r="N23" s="573"/>
      <c r="O23" s="573"/>
      <c r="P23" s="573"/>
      <c r="Q23" s="574"/>
      <c r="R23" s="141">
        <f t="shared" si="9"/>
        <v>0</v>
      </c>
      <c r="S23" s="573"/>
      <c r="T23" s="573"/>
      <c r="U23" s="573"/>
      <c r="V23" s="574"/>
      <c r="W23" s="141">
        <f t="shared" si="10"/>
        <v>0</v>
      </c>
      <c r="X23" s="573"/>
      <c r="Y23" s="573"/>
      <c r="Z23" s="573"/>
      <c r="AA23" s="574"/>
      <c r="AB23" s="141">
        <f t="shared" si="11"/>
        <v>0</v>
      </c>
      <c r="AC23" s="573"/>
      <c r="AD23" s="573"/>
      <c r="AE23" s="573"/>
      <c r="AF23" s="574"/>
    </row>
    <row r="24" spans="1:41" ht="15">
      <c r="A24" s="92" t="s">
        <v>415</v>
      </c>
      <c r="B24" s="97" t="s">
        <v>452</v>
      </c>
      <c r="C24" s="141">
        <f t="shared" si="6"/>
        <v>0</v>
      </c>
      <c r="D24" s="89">
        <f>D25+D26+D27</f>
        <v>0</v>
      </c>
      <c r="E24" s="89">
        <f>E25+E26+E27</f>
        <v>0</v>
      </c>
      <c r="F24" s="89">
        <f>F25+F26+F27</f>
        <v>0</v>
      </c>
      <c r="G24" s="93">
        <f>G25+G26+G27</f>
        <v>0</v>
      </c>
      <c r="H24" s="141">
        <f t="shared" si="7"/>
        <v>0</v>
      </c>
      <c r="I24" s="89">
        <f>I25+I26+I27</f>
        <v>0</v>
      </c>
      <c r="J24" s="89">
        <f>J25+J26+J27</f>
        <v>0</v>
      </c>
      <c r="K24" s="89">
        <f>K25+K26+K27</f>
        <v>0</v>
      </c>
      <c r="L24" s="93">
        <f>L25+L26+L27</f>
        <v>0</v>
      </c>
      <c r="M24" s="141">
        <f t="shared" si="8"/>
        <v>0</v>
      </c>
      <c r="N24" s="89">
        <f>N25+N26+N27</f>
        <v>0</v>
      </c>
      <c r="O24" s="89">
        <f>O25+O26+O27</f>
        <v>0</v>
      </c>
      <c r="P24" s="89">
        <f>P25+P26+P27</f>
        <v>0</v>
      </c>
      <c r="Q24" s="93">
        <f>Q25+Q26+Q27</f>
        <v>0</v>
      </c>
      <c r="R24" s="141">
        <f t="shared" si="9"/>
        <v>0</v>
      </c>
      <c r="S24" s="89">
        <f>S25+S26+S27</f>
        <v>0</v>
      </c>
      <c r="T24" s="89">
        <f>T25+T26+T27</f>
        <v>0</v>
      </c>
      <c r="U24" s="89">
        <f>U25+U26+U27</f>
        <v>0</v>
      </c>
      <c r="V24" s="93">
        <f>V25+V26+V27</f>
        <v>0</v>
      </c>
      <c r="W24" s="141">
        <f t="shared" si="10"/>
        <v>0</v>
      </c>
      <c r="X24" s="89">
        <f>X25+X26+X27</f>
        <v>0</v>
      </c>
      <c r="Y24" s="89">
        <f>Y25+Y26+Y27</f>
        <v>0</v>
      </c>
      <c r="Z24" s="89">
        <f>Z25+Z26+Z27</f>
        <v>0</v>
      </c>
      <c r="AA24" s="93">
        <f>AA25+AA26+AA27</f>
        <v>0</v>
      </c>
      <c r="AB24" s="141">
        <f t="shared" si="11"/>
        <v>0</v>
      </c>
      <c r="AC24" s="89">
        <f>AC25+AC26+AC27</f>
        <v>0</v>
      </c>
      <c r="AD24" s="89">
        <f>AD25+AD26+AD27</f>
        <v>0</v>
      </c>
      <c r="AE24" s="89">
        <f>AE25+AE26+AE27</f>
        <v>0</v>
      </c>
      <c r="AF24" s="93">
        <f>AF25+AF26+AF27</f>
        <v>0</v>
      </c>
    </row>
    <row r="25" spans="1:41" ht="15">
      <c r="A25" s="126" t="s">
        <v>442</v>
      </c>
      <c r="B25" s="176"/>
      <c r="C25" s="141">
        <f t="shared" si="6"/>
        <v>0</v>
      </c>
      <c r="D25" s="178"/>
      <c r="E25" s="178"/>
      <c r="F25" s="178"/>
      <c r="G25" s="179"/>
      <c r="H25" s="141">
        <f t="shared" si="7"/>
        <v>0</v>
      </c>
      <c r="I25" s="178"/>
      <c r="J25" s="178"/>
      <c r="K25" s="178"/>
      <c r="L25" s="179"/>
      <c r="M25" s="141">
        <f t="shared" si="8"/>
        <v>0</v>
      </c>
      <c r="N25" s="178"/>
      <c r="O25" s="178"/>
      <c r="P25" s="178"/>
      <c r="Q25" s="179"/>
      <c r="R25" s="141">
        <f t="shared" si="9"/>
        <v>0</v>
      </c>
      <c r="S25" s="178"/>
      <c r="T25" s="178"/>
      <c r="U25" s="178"/>
      <c r="V25" s="179"/>
      <c r="W25" s="141">
        <f t="shared" si="10"/>
        <v>0</v>
      </c>
      <c r="X25" s="178"/>
      <c r="Y25" s="178"/>
      <c r="Z25" s="178"/>
      <c r="AA25" s="179"/>
      <c r="AB25" s="141">
        <f t="shared" si="11"/>
        <v>0</v>
      </c>
      <c r="AC25" s="178"/>
      <c r="AD25" s="178"/>
      <c r="AE25" s="178"/>
      <c r="AF25" s="179"/>
    </row>
    <row r="26" spans="1:41" ht="15">
      <c r="A26" s="126" t="s">
        <v>443</v>
      </c>
      <c r="B26" s="176"/>
      <c r="C26" s="141">
        <f t="shared" si="6"/>
        <v>0</v>
      </c>
      <c r="D26" s="178"/>
      <c r="E26" s="178"/>
      <c r="F26" s="178"/>
      <c r="G26" s="179"/>
      <c r="H26" s="141">
        <f t="shared" si="7"/>
        <v>0</v>
      </c>
      <c r="I26" s="178"/>
      <c r="J26" s="178"/>
      <c r="K26" s="178"/>
      <c r="L26" s="179"/>
      <c r="M26" s="141">
        <f t="shared" si="8"/>
        <v>0</v>
      </c>
      <c r="N26" s="178"/>
      <c r="O26" s="178"/>
      <c r="P26" s="178"/>
      <c r="Q26" s="179"/>
      <c r="R26" s="141">
        <f t="shared" si="9"/>
        <v>0</v>
      </c>
      <c r="S26" s="178"/>
      <c r="T26" s="178"/>
      <c r="U26" s="178"/>
      <c r="V26" s="179"/>
      <c r="W26" s="141">
        <f t="shared" si="10"/>
        <v>0</v>
      </c>
      <c r="X26" s="178"/>
      <c r="Y26" s="178"/>
      <c r="Z26" s="178"/>
      <c r="AA26" s="179"/>
      <c r="AB26" s="141">
        <f t="shared" si="11"/>
        <v>0</v>
      </c>
      <c r="AC26" s="178"/>
      <c r="AD26" s="178"/>
      <c r="AE26" s="178"/>
      <c r="AF26" s="179"/>
    </row>
    <row r="27" spans="1:41" ht="15">
      <c r="A27" s="126" t="s">
        <v>444</v>
      </c>
      <c r="B27" s="176"/>
      <c r="C27" s="141">
        <f t="shared" si="6"/>
        <v>0</v>
      </c>
      <c r="D27" s="178"/>
      <c r="E27" s="178"/>
      <c r="F27" s="178"/>
      <c r="G27" s="179"/>
      <c r="H27" s="141">
        <f t="shared" si="7"/>
        <v>0</v>
      </c>
      <c r="I27" s="178"/>
      <c r="J27" s="178"/>
      <c r="K27" s="178"/>
      <c r="L27" s="179"/>
      <c r="M27" s="141">
        <f t="shared" si="8"/>
        <v>0</v>
      </c>
      <c r="N27" s="178"/>
      <c r="O27" s="178"/>
      <c r="P27" s="178"/>
      <c r="Q27" s="179"/>
      <c r="R27" s="141">
        <f t="shared" si="9"/>
        <v>0</v>
      </c>
      <c r="S27" s="178"/>
      <c r="T27" s="178"/>
      <c r="U27" s="178"/>
      <c r="V27" s="179"/>
      <c r="W27" s="141">
        <f t="shared" si="10"/>
        <v>0</v>
      </c>
      <c r="X27" s="178"/>
      <c r="Y27" s="178"/>
      <c r="Z27" s="178"/>
      <c r="AA27" s="179"/>
      <c r="AB27" s="141">
        <f t="shared" si="11"/>
        <v>0</v>
      </c>
      <c r="AC27" s="178"/>
      <c r="AD27" s="178"/>
      <c r="AE27" s="178"/>
      <c r="AF27" s="179"/>
    </row>
    <row r="28" spans="1:41" ht="26.25">
      <c r="A28" s="92" t="s">
        <v>416</v>
      </c>
      <c r="B28" s="98" t="s">
        <v>438</v>
      </c>
      <c r="C28" s="141">
        <f t="shared" si="6"/>
        <v>0</v>
      </c>
      <c r="D28" s="173"/>
      <c r="E28" s="173"/>
      <c r="F28" s="173"/>
      <c r="G28" s="168"/>
      <c r="H28" s="141">
        <f t="shared" si="7"/>
        <v>0</v>
      </c>
      <c r="I28" s="173"/>
      <c r="J28" s="173"/>
      <c r="K28" s="173"/>
      <c r="L28" s="168"/>
      <c r="M28" s="141">
        <f t="shared" si="8"/>
        <v>0</v>
      </c>
      <c r="N28" s="173"/>
      <c r="O28" s="173"/>
      <c r="P28" s="173"/>
      <c r="Q28" s="168"/>
      <c r="R28" s="141">
        <f t="shared" si="9"/>
        <v>0</v>
      </c>
      <c r="S28" s="173"/>
      <c r="T28" s="173"/>
      <c r="U28" s="173">
        <v>0</v>
      </c>
      <c r="V28" s="168"/>
      <c r="W28" s="141">
        <f t="shared" si="10"/>
        <v>0</v>
      </c>
      <c r="X28" s="173"/>
      <c r="Y28" s="173"/>
      <c r="Z28" s="173">
        <v>0</v>
      </c>
      <c r="AA28" s="168"/>
      <c r="AB28" s="141">
        <f t="shared" si="11"/>
        <v>0</v>
      </c>
      <c r="AC28" s="173"/>
      <c r="AD28" s="173"/>
      <c r="AE28" s="173">
        <v>0</v>
      </c>
      <c r="AF28" s="168"/>
    </row>
    <row r="29" spans="1:41" ht="26.25">
      <c r="A29" s="92" t="s">
        <v>437</v>
      </c>
      <c r="B29" s="97" t="s">
        <v>453</v>
      </c>
      <c r="C29" s="141">
        <f t="shared" si="6"/>
        <v>0</v>
      </c>
      <c r="D29" s="89">
        <f>D30+D31+D32</f>
        <v>0</v>
      </c>
      <c r="E29" s="89">
        <f>E30+E31+E32</f>
        <v>0</v>
      </c>
      <c r="F29" s="89">
        <f>F30+F31+F32</f>
        <v>0</v>
      </c>
      <c r="G29" s="93">
        <f>G30+G31+G32</f>
        <v>0</v>
      </c>
      <c r="H29" s="141">
        <f t="shared" si="7"/>
        <v>0</v>
      </c>
      <c r="I29" s="89">
        <f>I30+I31+I32</f>
        <v>0</v>
      </c>
      <c r="J29" s="89">
        <f>J30+J31+J32</f>
        <v>0</v>
      </c>
      <c r="K29" s="89">
        <f>K30+K31+K32</f>
        <v>0</v>
      </c>
      <c r="L29" s="93">
        <f>L30+L31+L32</f>
        <v>0</v>
      </c>
      <c r="M29" s="141">
        <f t="shared" si="8"/>
        <v>0</v>
      </c>
      <c r="N29" s="89">
        <f>N30+N31+N32</f>
        <v>0</v>
      </c>
      <c r="O29" s="89">
        <f>O30+O31+O32</f>
        <v>0</v>
      </c>
      <c r="P29" s="89">
        <f>P30+P31+P32</f>
        <v>0</v>
      </c>
      <c r="Q29" s="93">
        <f>Q30+Q31+Q32</f>
        <v>0</v>
      </c>
      <c r="R29" s="141">
        <f t="shared" si="9"/>
        <v>0</v>
      </c>
      <c r="S29" s="89">
        <f>S30+S31+S32</f>
        <v>0</v>
      </c>
      <c r="T29" s="89">
        <f>T30+T31+T32</f>
        <v>0</v>
      </c>
      <c r="U29" s="89">
        <f>U30+U31+U32</f>
        <v>0</v>
      </c>
      <c r="V29" s="93">
        <f>V30+V31+V32</f>
        <v>0</v>
      </c>
      <c r="W29" s="141">
        <f t="shared" si="10"/>
        <v>0</v>
      </c>
      <c r="X29" s="89">
        <f>X30+X31+X32</f>
        <v>0</v>
      </c>
      <c r="Y29" s="89">
        <f>Y30+Y31+Y32</f>
        <v>0</v>
      </c>
      <c r="Z29" s="89">
        <f>Z30+Z31+Z32</f>
        <v>0</v>
      </c>
      <c r="AA29" s="93">
        <f>AA30+AA31+AA32</f>
        <v>0</v>
      </c>
      <c r="AB29" s="141">
        <f t="shared" si="11"/>
        <v>0</v>
      </c>
      <c r="AC29" s="89">
        <f>AC30+AC31+AC32</f>
        <v>0</v>
      </c>
      <c r="AD29" s="89">
        <f>AD30+AD31+AD32</f>
        <v>0</v>
      </c>
      <c r="AE29" s="89">
        <f>AE30+AE31+AE32</f>
        <v>0</v>
      </c>
      <c r="AF29" s="93">
        <f>AF30+AF31+AF32</f>
        <v>0</v>
      </c>
    </row>
    <row r="30" spans="1:41" ht="15">
      <c r="A30" s="126" t="s">
        <v>445</v>
      </c>
      <c r="B30" s="177"/>
      <c r="C30" s="141">
        <f t="shared" si="6"/>
        <v>0</v>
      </c>
      <c r="D30" s="178"/>
      <c r="E30" s="178"/>
      <c r="F30" s="178"/>
      <c r="G30" s="179"/>
      <c r="H30" s="141">
        <f t="shared" si="7"/>
        <v>0</v>
      </c>
      <c r="I30" s="178"/>
      <c r="J30" s="178"/>
      <c r="K30" s="178"/>
      <c r="L30" s="179"/>
      <c r="M30" s="141">
        <f t="shared" si="8"/>
        <v>0</v>
      </c>
      <c r="N30" s="178"/>
      <c r="O30" s="178"/>
      <c r="P30" s="178"/>
      <c r="Q30" s="179"/>
      <c r="R30" s="141">
        <f t="shared" si="9"/>
        <v>0</v>
      </c>
      <c r="S30" s="178"/>
      <c r="T30" s="178"/>
      <c r="U30" s="178"/>
      <c r="V30" s="179"/>
      <c r="W30" s="141">
        <f t="shared" si="10"/>
        <v>0</v>
      </c>
      <c r="X30" s="178"/>
      <c r="Y30" s="178"/>
      <c r="Z30" s="178"/>
      <c r="AA30" s="179"/>
      <c r="AB30" s="141">
        <f t="shared" si="11"/>
        <v>0</v>
      </c>
      <c r="AC30" s="178"/>
      <c r="AD30" s="178"/>
      <c r="AE30" s="178"/>
      <c r="AF30" s="179"/>
    </row>
    <row r="31" spans="1:41" ht="15">
      <c r="A31" s="126" t="s">
        <v>446</v>
      </c>
      <c r="B31" s="176"/>
      <c r="C31" s="141">
        <f t="shared" si="6"/>
        <v>0</v>
      </c>
      <c r="D31" s="178"/>
      <c r="E31" s="178"/>
      <c r="F31" s="178"/>
      <c r="G31" s="179"/>
      <c r="H31" s="141">
        <f t="shared" si="7"/>
        <v>0</v>
      </c>
      <c r="I31" s="178"/>
      <c r="J31" s="178"/>
      <c r="K31" s="178"/>
      <c r="L31" s="179"/>
      <c r="M31" s="141">
        <f t="shared" si="8"/>
        <v>0</v>
      </c>
      <c r="N31" s="178"/>
      <c r="O31" s="178"/>
      <c r="P31" s="178"/>
      <c r="Q31" s="179"/>
      <c r="R31" s="141">
        <f t="shared" si="9"/>
        <v>0</v>
      </c>
      <c r="S31" s="178"/>
      <c r="T31" s="178"/>
      <c r="U31" s="178"/>
      <c r="V31" s="179"/>
      <c r="W31" s="141">
        <f t="shared" si="10"/>
        <v>0</v>
      </c>
      <c r="X31" s="178"/>
      <c r="Y31" s="178"/>
      <c r="Z31" s="178"/>
      <c r="AA31" s="179"/>
      <c r="AB31" s="141">
        <f t="shared" si="11"/>
        <v>0</v>
      </c>
      <c r="AC31" s="178"/>
      <c r="AD31" s="178"/>
      <c r="AE31" s="178"/>
      <c r="AF31" s="179"/>
    </row>
    <row r="32" spans="1:41" ht="15.75" thickBot="1">
      <c r="A32" s="127" t="s">
        <v>447</v>
      </c>
      <c r="B32" s="170"/>
      <c r="C32" s="142">
        <f t="shared" si="6"/>
        <v>0</v>
      </c>
      <c r="D32" s="174"/>
      <c r="E32" s="174"/>
      <c r="F32" s="174"/>
      <c r="G32" s="175"/>
      <c r="H32" s="142">
        <f t="shared" si="7"/>
        <v>0</v>
      </c>
      <c r="I32" s="174"/>
      <c r="J32" s="174"/>
      <c r="K32" s="174"/>
      <c r="L32" s="175"/>
      <c r="M32" s="142">
        <f t="shared" si="8"/>
        <v>0</v>
      </c>
      <c r="N32" s="174"/>
      <c r="O32" s="174"/>
      <c r="P32" s="174"/>
      <c r="Q32" s="175"/>
      <c r="R32" s="142">
        <f t="shared" si="9"/>
        <v>0</v>
      </c>
      <c r="S32" s="174"/>
      <c r="T32" s="174"/>
      <c r="U32" s="174"/>
      <c r="V32" s="175"/>
      <c r="W32" s="142">
        <f t="shared" si="10"/>
        <v>0</v>
      </c>
      <c r="X32" s="174"/>
      <c r="Y32" s="174"/>
      <c r="Z32" s="174"/>
      <c r="AA32" s="175"/>
      <c r="AB32" s="142">
        <f t="shared" si="11"/>
        <v>0</v>
      </c>
      <c r="AC32" s="174"/>
      <c r="AD32" s="174"/>
      <c r="AE32" s="174"/>
      <c r="AF32" s="175"/>
    </row>
    <row r="33" spans="1:70" ht="13.5" hidden="1" thickBot="1">
      <c r="A33" s="81"/>
      <c r="B33" s="82"/>
      <c r="C33" s="81"/>
      <c r="D33" s="81"/>
      <c r="E33" s="81"/>
      <c r="F33" s="81"/>
      <c r="G33" s="81"/>
      <c r="H33" s="81"/>
      <c r="I33" s="84"/>
      <c r="J33" s="84"/>
      <c r="K33" s="84"/>
      <c r="M33" s="81"/>
      <c r="N33" s="84"/>
      <c r="O33" s="84"/>
      <c r="P33" s="84"/>
    </row>
    <row r="34" spans="1:70" ht="25.5">
      <c r="A34" s="191" t="s">
        <v>408</v>
      </c>
      <c r="B34" s="194" t="s">
        <v>11</v>
      </c>
      <c r="C34" s="641">
        <f>SUM(D34:G34)</f>
        <v>27059.468419820831</v>
      </c>
      <c r="D34" s="644">
        <f>D35+D36</f>
        <v>0</v>
      </c>
      <c r="E34" s="644">
        <f>E35+E36</f>
        <v>0</v>
      </c>
      <c r="F34" s="644">
        <f>F35+F36</f>
        <v>9256.4389198208337</v>
      </c>
      <c r="G34" s="645">
        <f>G35+G36</f>
        <v>17803.029499999997</v>
      </c>
      <c r="H34" s="641">
        <f>SUM(I34:L34)</f>
        <v>26064.97000495025</v>
      </c>
      <c r="I34" s="644">
        <f>I35+I36</f>
        <v>0</v>
      </c>
      <c r="J34" s="644">
        <f>J35+J36</f>
        <v>0</v>
      </c>
      <c r="K34" s="644">
        <f>K35+K36</f>
        <v>8346.6520503344236</v>
      </c>
      <c r="L34" s="645">
        <f>L35+L36</f>
        <v>17718.317954615828</v>
      </c>
      <c r="M34" s="641">
        <f>SUM(N34:Q34)</f>
        <v>27436.021341477255</v>
      </c>
      <c r="N34" s="644">
        <f>N35+N36</f>
        <v>0</v>
      </c>
      <c r="O34" s="644">
        <f>O35+O36</f>
        <v>0</v>
      </c>
      <c r="P34" s="644">
        <f>P35+P36</f>
        <v>9240.1099836013382</v>
      </c>
      <c r="Q34" s="645">
        <f>Q35+Q36</f>
        <v>18195.911357875917</v>
      </c>
      <c r="R34" s="641">
        <f>SUM(S34:V34)</f>
        <v>27258.763886746223</v>
      </c>
      <c r="S34" s="644">
        <f>S35+S36</f>
        <v>0</v>
      </c>
      <c r="T34" s="644">
        <f>T35+T36</f>
        <v>0</v>
      </c>
      <c r="U34" s="644">
        <f>U35+U36</f>
        <v>9449.2872728416678</v>
      </c>
      <c r="V34" s="645">
        <f>V35+V36</f>
        <v>17809.476613904553</v>
      </c>
      <c r="W34" s="641">
        <f>SUM(X34:AA34)</f>
        <v>27718.501221989776</v>
      </c>
      <c r="X34" s="644">
        <f>X35+X36</f>
        <v>0</v>
      </c>
      <c r="Y34" s="644">
        <f>Y35+Y36</f>
        <v>0</v>
      </c>
      <c r="Z34" s="644">
        <f>Z35+Z36</f>
        <v>9449.7700933360593</v>
      </c>
      <c r="AA34" s="645">
        <f>AA35+AA36</f>
        <v>18268.731128653719</v>
      </c>
      <c r="AB34" s="641">
        <f>SUM(AC34:AF34)</f>
        <v>27593.003105812426</v>
      </c>
      <c r="AC34" s="644">
        <f>AC35+AC36</f>
        <v>0</v>
      </c>
      <c r="AD34" s="644">
        <f>AD35+AD36</f>
        <v>0</v>
      </c>
      <c r="AE34" s="644">
        <f>AE35+AE36</f>
        <v>8847.9909831433761</v>
      </c>
      <c r="AF34" s="645">
        <f>AF35+AF36</f>
        <v>18745.01212266905</v>
      </c>
    </row>
    <row r="35" spans="1:70">
      <c r="A35" s="192" t="s">
        <v>409</v>
      </c>
      <c r="B35" s="195" t="s">
        <v>10</v>
      </c>
      <c r="C35" s="642">
        <f>SUM(D35:G35)</f>
        <v>4688.4724198208332</v>
      </c>
      <c r="D35" s="646">
        <f>IF((D7-D17)=0,0,D17/(D7-D17)*D36)</f>
        <v>0</v>
      </c>
      <c r="E35" s="646">
        <f>IF((E7-E17)=0,0,E17/(E7-E17)*E36)</f>
        <v>0</v>
      </c>
      <c r="F35" s="646">
        <f>IF((F7-F17)=0,0,F17/(F7-F17)*F36)</f>
        <v>781.43891982083369</v>
      </c>
      <c r="G35" s="647">
        <f>IF((G7-G17)=0,0,G17/(G7-G17)*G36)</f>
        <v>3907.0335</v>
      </c>
      <c r="H35" s="642">
        <f>SUM(I35:L35)</f>
        <v>3457.9700049502503</v>
      </c>
      <c r="I35" s="646">
        <f>IF((I7-I17)=0,0,I17/(I7-I17)*I36)</f>
        <v>0</v>
      </c>
      <c r="J35" s="646">
        <f>IF((J7-J17)=0,0,J17/(J7-J17)*J36)</f>
        <v>0</v>
      </c>
      <c r="K35" s="646">
        <f>IF((K7-K17)=0,0,K17/(K7-K17)*K36)</f>
        <v>486.65205033442413</v>
      </c>
      <c r="L35" s="647">
        <f>IF((L7-L17)=0,0,L17/(L7-L17)*L36)</f>
        <v>2971.3179546158262</v>
      </c>
      <c r="M35" s="642">
        <f>SUM(N35:Q35)</f>
        <v>4782.021341477257</v>
      </c>
      <c r="N35" s="646">
        <f>IF((N7-N17)=0,0,N17/(N7-N17)*N36)</f>
        <v>0</v>
      </c>
      <c r="O35" s="646">
        <f>IF((O7-O17)=0,0,O17/(O7-O17)*O36)</f>
        <v>0</v>
      </c>
      <c r="P35" s="646">
        <f>IF((P7-P17)=0,0,P17/(P7-P17)*P36)</f>
        <v>786.10998360133908</v>
      </c>
      <c r="Q35" s="647">
        <f>IF((Q7-Q17)=0,0,Q17/(Q7-Q17)*Q36)</f>
        <v>3995.9113578759184</v>
      </c>
      <c r="R35" s="642">
        <f>SUM(S35:V35)</f>
        <v>4191.763886746221</v>
      </c>
      <c r="S35" s="646">
        <f>IF((S7-S17)=0,0,S17/(S7-S17)*S36)</f>
        <v>0</v>
      </c>
      <c r="T35" s="646">
        <f>IF((T7-T17)=0,0,T17/(T7-T17)*T36)</f>
        <v>0</v>
      </c>
      <c r="U35" s="646">
        <f>IF((U7-U17)=0,0,U17/(U7-U17)*U36)</f>
        <v>710.6155549926666</v>
      </c>
      <c r="V35" s="647">
        <f>IF((V7-V17)=0,0,V17/(V7-V17)*V36)</f>
        <v>3481.1483317535544</v>
      </c>
      <c r="W35" s="642">
        <f>SUM(X35:AA35)</f>
        <v>4283.5012219897826</v>
      </c>
      <c r="X35" s="646">
        <f>IF((X7-X17)=0,0,X17/(X7-X17)*X36)</f>
        <v>0</v>
      </c>
      <c r="Y35" s="646">
        <f>IF((Y7-Y17)=0,0,Y17/(Y7-Y17)*Y36)</f>
        <v>0</v>
      </c>
      <c r="Z35" s="646">
        <f>IF((Z7-Z17)=0,0,Z17/(Z7-Z17)*Z36)</f>
        <v>693.77009333605963</v>
      </c>
      <c r="AA35" s="647">
        <f>IF((AA7-AA17)=0,0,AA17/(AA7-AA17)*AA36)</f>
        <v>3589.7311286537229</v>
      </c>
      <c r="AB35" s="642">
        <f>SUM(AC35:AF35)</f>
        <v>4297.8031058124243</v>
      </c>
      <c r="AC35" s="646">
        <f>IF((AC7-AC17)=0,0,AC17/(AC7-AC17)*AC36)</f>
        <v>0</v>
      </c>
      <c r="AD35" s="646">
        <f>IF((AD7-AD17)=0,0,AD17/(AD7-AD17)*AD36)</f>
        <v>0</v>
      </c>
      <c r="AE35" s="646">
        <f>IF((AE7-AE17)=0,0,AE17/(AE7-AE17)*AE36)</f>
        <v>614.49098314337618</v>
      </c>
      <c r="AF35" s="647">
        <f>IF((AF7-AF17)=0,0,AF17/(AF7-AF17)*AF36)</f>
        <v>3683.3121226690478</v>
      </c>
    </row>
    <row r="36" spans="1:70" ht="13.5" thickBot="1">
      <c r="A36" s="193" t="s">
        <v>8</v>
      </c>
      <c r="B36" s="196" t="s">
        <v>9</v>
      </c>
      <c r="C36" s="643">
        <f>SUM(D36:G36)</f>
        <v>22370.995999999999</v>
      </c>
      <c r="D36" s="648">
        <f>D29+D24+D20</f>
        <v>0</v>
      </c>
      <c r="E36" s="648">
        <f>E29+E24+E20</f>
        <v>0</v>
      </c>
      <c r="F36" s="648">
        <f>F29+F24+F20</f>
        <v>8475</v>
      </c>
      <c r="G36" s="649">
        <f>G29+G24+G20</f>
        <v>13895.995999999997</v>
      </c>
      <c r="H36" s="643">
        <f>SUM(I36:L36)</f>
        <v>22607</v>
      </c>
      <c r="I36" s="648">
        <f>I29+I24+I20</f>
        <v>0</v>
      </c>
      <c r="J36" s="648">
        <f>J29+J24+J20</f>
        <v>0</v>
      </c>
      <c r="K36" s="648">
        <f>K29+K24+K20</f>
        <v>7860</v>
      </c>
      <c r="L36" s="649">
        <f>L29+L24+L20</f>
        <v>14747</v>
      </c>
      <c r="M36" s="643">
        <f>SUM(N36:Q36)</f>
        <v>22654</v>
      </c>
      <c r="N36" s="648">
        <f>N29+N24+N20</f>
        <v>0</v>
      </c>
      <c r="O36" s="648">
        <f>O29+O24+O20</f>
        <v>0</v>
      </c>
      <c r="P36" s="648">
        <f>P29+P24+P20</f>
        <v>8454</v>
      </c>
      <c r="Q36" s="649">
        <f>Q29+Q24+Q20</f>
        <v>14200</v>
      </c>
      <c r="R36" s="643">
        <f>SUM(S36:V36)</f>
        <v>23067</v>
      </c>
      <c r="S36" s="648">
        <f>S29+S24+S20</f>
        <v>0</v>
      </c>
      <c r="T36" s="648">
        <f>T29+T24+T20</f>
        <v>0</v>
      </c>
      <c r="U36" s="648">
        <f>U29+U24+U20</f>
        <v>8738.6717178490017</v>
      </c>
      <c r="V36" s="649">
        <f>V29+V24+V20</f>
        <v>14328.328282150998</v>
      </c>
      <c r="W36" s="643">
        <f>SUM(X36:AA36)</f>
        <v>23434.999999999993</v>
      </c>
      <c r="X36" s="648">
        <f>X29+X24+X20</f>
        <v>0</v>
      </c>
      <c r="Y36" s="648">
        <f>Y29+Y24+Y20</f>
        <v>0</v>
      </c>
      <c r="Z36" s="648">
        <f>Z29+Z24+Z20</f>
        <v>8756</v>
      </c>
      <c r="AA36" s="649">
        <f>AA29+AA24+AA20</f>
        <v>14678.999999999995</v>
      </c>
      <c r="AB36" s="643">
        <f>SUM(AC36:AF36)</f>
        <v>23295.200000000001</v>
      </c>
      <c r="AC36" s="648">
        <f>AC29+AC24+AC20</f>
        <v>0</v>
      </c>
      <c r="AD36" s="648">
        <f>AD29+AD24+AD20</f>
        <v>0</v>
      </c>
      <c r="AE36" s="648">
        <f>AE29+AE24+AE20</f>
        <v>8233.5</v>
      </c>
      <c r="AF36" s="649">
        <f>AF29+AF24+AF20</f>
        <v>15061.7</v>
      </c>
    </row>
    <row r="37" spans="1:70" hidden="1">
      <c r="A37" s="84"/>
      <c r="B37" s="90"/>
      <c r="C37" s="84"/>
      <c r="D37" s="84"/>
      <c r="E37" s="84"/>
      <c r="F37" s="84"/>
      <c r="G37" s="84"/>
      <c r="H37" s="84"/>
      <c r="I37" s="84"/>
      <c r="J37" s="84"/>
      <c r="K37" s="84"/>
      <c r="M37" s="84"/>
      <c r="N37" s="84"/>
      <c r="O37" s="84"/>
      <c r="P37" s="84"/>
    </row>
    <row r="38" spans="1:70" hidden="1">
      <c r="A38" s="84"/>
      <c r="B38" s="90"/>
      <c r="C38" s="84"/>
      <c r="D38" s="84"/>
      <c r="E38" s="84"/>
      <c r="F38" s="84"/>
      <c r="G38" s="84"/>
      <c r="H38" s="84"/>
      <c r="I38" s="84"/>
      <c r="J38" s="84"/>
      <c r="K38" s="84"/>
      <c r="M38" s="84"/>
      <c r="N38" s="84"/>
      <c r="O38" s="84"/>
      <c r="P38" s="84"/>
    </row>
    <row r="39" spans="1:70" s="342" customFormat="1">
      <c r="A39" s="271"/>
      <c r="B39" s="341" t="s">
        <v>495</v>
      </c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1"/>
      <c r="BN39" s="271"/>
      <c r="BO39" s="271"/>
      <c r="BP39" s="271"/>
      <c r="BQ39" s="271"/>
      <c r="BR39" s="271"/>
    </row>
    <row r="40" spans="1:70" s="342" customFormat="1">
      <c r="A40" s="371" t="s">
        <v>268</v>
      </c>
      <c r="B40" s="372" t="s">
        <v>494</v>
      </c>
      <c r="C40" s="349" t="s">
        <v>400</v>
      </c>
      <c r="D40" s="349" t="s">
        <v>384</v>
      </c>
      <c r="E40" s="349" t="s">
        <v>394</v>
      </c>
      <c r="F40" s="349" t="s">
        <v>395</v>
      </c>
      <c r="G40" s="349" t="s">
        <v>401</v>
      </c>
      <c r="H40" s="349" t="s">
        <v>400</v>
      </c>
      <c r="I40" s="349" t="s">
        <v>384</v>
      </c>
      <c r="J40" s="349" t="s">
        <v>394</v>
      </c>
      <c r="K40" s="349" t="s">
        <v>395</v>
      </c>
      <c r="L40" s="349" t="s">
        <v>401</v>
      </c>
      <c r="M40" s="349" t="s">
        <v>400</v>
      </c>
      <c r="N40" s="349" t="s">
        <v>384</v>
      </c>
      <c r="O40" s="349" t="s">
        <v>394</v>
      </c>
      <c r="P40" s="349" t="s">
        <v>395</v>
      </c>
      <c r="Q40" s="349" t="s">
        <v>401</v>
      </c>
      <c r="R40" s="349" t="s">
        <v>400</v>
      </c>
      <c r="S40" s="349" t="s">
        <v>384</v>
      </c>
      <c r="T40" s="349" t="s">
        <v>394</v>
      </c>
      <c r="U40" s="349" t="s">
        <v>395</v>
      </c>
      <c r="V40" s="349" t="s">
        <v>401</v>
      </c>
      <c r="W40" s="349" t="s">
        <v>400</v>
      </c>
      <c r="X40" s="349" t="s">
        <v>384</v>
      </c>
      <c r="Y40" s="349" t="s">
        <v>394</v>
      </c>
      <c r="Z40" s="349" t="s">
        <v>395</v>
      </c>
      <c r="AA40" s="349" t="s">
        <v>401</v>
      </c>
      <c r="AB40" s="349" t="s">
        <v>400</v>
      </c>
      <c r="AC40" s="349" t="s">
        <v>384</v>
      </c>
      <c r="AD40" s="349" t="s">
        <v>394</v>
      </c>
      <c r="AE40" s="349" t="s">
        <v>395</v>
      </c>
      <c r="AF40" s="349" t="s">
        <v>401</v>
      </c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</row>
    <row r="41" spans="1:70" s="342" customFormat="1">
      <c r="A41" s="272"/>
      <c r="B41" s="272" t="s">
        <v>1060</v>
      </c>
      <c r="C41" s="854">
        <f>SUM(D41:G41)</f>
        <v>2122</v>
      </c>
      <c r="D41" s="855"/>
      <c r="E41" s="855">
        <v>2122</v>
      </c>
      <c r="F41" s="855"/>
      <c r="G41" s="855"/>
      <c r="H41" s="854">
        <f>SUM(I41:L41)</f>
        <v>2262</v>
      </c>
      <c r="I41" s="855"/>
      <c r="J41" s="855">
        <v>2262</v>
      </c>
      <c r="K41" s="855"/>
      <c r="L41" s="855"/>
      <c r="M41" s="854">
        <f>SUM(N41:Q41)</f>
        <v>2155.6000000000004</v>
      </c>
      <c r="N41" s="855"/>
      <c r="O41" s="855">
        <f>'Информация о согл. объемах'!F31*1000</f>
        <v>2155.6000000000004</v>
      </c>
      <c r="P41" s="855"/>
      <c r="Q41" s="855"/>
      <c r="R41" s="854">
        <f>SUM(S41:V41)</f>
        <v>2123</v>
      </c>
      <c r="S41" s="855"/>
      <c r="T41" s="855">
        <v>2123</v>
      </c>
      <c r="U41" s="855"/>
      <c r="V41" s="855"/>
      <c r="W41" s="854">
        <f>SUM(X41:AA41)</f>
        <v>2157</v>
      </c>
      <c r="X41" s="855"/>
      <c r="Y41" s="855">
        <v>2157</v>
      </c>
      <c r="Z41" s="855"/>
      <c r="AA41" s="855"/>
      <c r="AB41" s="854">
        <f>SUM(AC41:AF41)</f>
        <v>2157.1</v>
      </c>
      <c r="AC41" s="855"/>
      <c r="AD41" s="855">
        <f>'Информация о согл. объемах'!G37*1000</f>
        <v>2157.1</v>
      </c>
      <c r="AE41" s="855"/>
      <c r="AF41" s="855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</row>
    <row r="42" spans="1:70" s="342" customFormat="1" ht="12.75" customHeight="1" thickBot="1">
      <c r="A42" s="272"/>
      <c r="B42" s="272" t="s">
        <v>1061</v>
      </c>
      <c r="C42" s="854">
        <f>SUM(D42:G42)</f>
        <v>2637</v>
      </c>
      <c r="D42" s="855"/>
      <c r="E42" s="855"/>
      <c r="F42" s="855">
        <v>2637</v>
      </c>
      <c r="G42" s="855"/>
      <c r="H42" s="854">
        <f>SUM(I42:L42)</f>
        <v>1819</v>
      </c>
      <c r="I42" s="855"/>
      <c r="J42" s="855"/>
      <c r="K42" s="855">
        <v>1819</v>
      </c>
      <c r="L42" s="855"/>
      <c r="M42" s="854">
        <f>SUM(N42:Q42)</f>
        <v>2425.1999999999998</v>
      </c>
      <c r="N42" s="855"/>
      <c r="O42" s="855"/>
      <c r="P42" s="855">
        <f>'Информация о согл. объемах'!H36*1000</f>
        <v>2425.1999999999998</v>
      </c>
      <c r="Q42" s="855"/>
      <c r="R42" s="854">
        <f>SUM(S42:V42)</f>
        <v>2637</v>
      </c>
      <c r="S42" s="855"/>
      <c r="T42" s="855"/>
      <c r="U42" s="855">
        <v>2637</v>
      </c>
      <c r="V42" s="855"/>
      <c r="W42" s="854">
        <f>SUM(X42:AA42)</f>
        <v>2834</v>
      </c>
      <c r="X42" s="855"/>
      <c r="Y42" s="855"/>
      <c r="Z42" s="855">
        <v>2834</v>
      </c>
      <c r="AA42" s="855"/>
      <c r="AB42" s="854">
        <f>SUM(AC42:AF42)</f>
        <v>2426.8999999999996</v>
      </c>
      <c r="AC42" s="855">
        <f>'Информация о согл. объемах'!I36*1000</f>
        <v>2426.8999999999996</v>
      </c>
      <c r="AD42" s="855"/>
      <c r="AE42" s="855"/>
      <c r="AF42" s="855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346"/>
      <c r="AU42" s="346"/>
      <c r="AV42" s="346"/>
      <c r="AW42" s="346"/>
      <c r="AX42" s="346"/>
      <c r="AY42" s="346"/>
      <c r="AZ42" s="346"/>
      <c r="BA42" s="346"/>
      <c r="BB42" s="346"/>
      <c r="BC42" s="346"/>
      <c r="BD42" s="346"/>
      <c r="BE42" s="346"/>
      <c r="BF42" s="346"/>
      <c r="BG42" s="346"/>
      <c r="BH42" s="346"/>
      <c r="BI42" s="346"/>
      <c r="BJ42" s="346"/>
      <c r="BK42" s="346"/>
      <c r="BL42" s="346"/>
      <c r="BM42" s="346"/>
      <c r="BN42" s="346"/>
      <c r="BO42" s="346"/>
      <c r="BP42" s="346"/>
      <c r="BQ42" s="346"/>
      <c r="BR42" s="346"/>
    </row>
    <row r="43" spans="1:70" s="342" customFormat="1" ht="26.25" customHeight="1" thickBot="1">
      <c r="A43" s="374"/>
      <c r="B43" s="1744" t="s">
        <v>1325</v>
      </c>
      <c r="C43" s="1745"/>
      <c r="D43" s="855"/>
      <c r="E43" s="855"/>
      <c r="F43" s="855"/>
      <c r="G43" s="855"/>
      <c r="H43" s="854">
        <f>SUM(I43:L43)</f>
        <v>0</v>
      </c>
      <c r="I43" s="855"/>
      <c r="J43" s="855"/>
      <c r="K43" s="855"/>
      <c r="L43" s="855"/>
      <c r="M43" s="854">
        <f>SUM(N43:Q43)</f>
        <v>208.9</v>
      </c>
      <c r="N43" s="855"/>
      <c r="O43" s="855"/>
      <c r="P43" s="855">
        <f>'Информация о согл. объемах'!J37*1000</f>
        <v>208.9</v>
      </c>
      <c r="Q43" s="855"/>
      <c r="R43" s="854">
        <f>SUM(S43:V43)</f>
        <v>0</v>
      </c>
      <c r="S43" s="855"/>
      <c r="T43" s="855"/>
      <c r="U43" s="855"/>
      <c r="V43" s="855"/>
      <c r="W43" s="854">
        <f>SUM(X43:AA43)</f>
        <v>198</v>
      </c>
      <c r="X43" s="855"/>
      <c r="Y43" s="855"/>
      <c r="Z43" s="855">
        <v>198</v>
      </c>
      <c r="AA43" s="855"/>
      <c r="AB43" s="854">
        <f>SUM(AC43:AF43)</f>
        <v>209</v>
      </c>
      <c r="AC43" s="855"/>
      <c r="AD43" s="855">
        <f>'Информация о согл. объемах'!K37*1000</f>
        <v>209</v>
      </c>
      <c r="AE43" s="855"/>
      <c r="AF43" s="855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</row>
    <row r="44" spans="1:70" s="342" customFormat="1">
      <c r="A44" s="272"/>
      <c r="B44" s="238" t="s">
        <v>1062</v>
      </c>
      <c r="C44" s="854">
        <f>SUM(D44:G44)</f>
        <v>1014</v>
      </c>
      <c r="D44" s="855"/>
      <c r="E44" s="855"/>
      <c r="F44" s="855">
        <v>1014</v>
      </c>
      <c r="G44" s="855"/>
      <c r="H44" s="854">
        <f>SUM(I44:L44)</f>
        <v>533</v>
      </c>
      <c r="I44" s="855"/>
      <c r="J44" s="855"/>
      <c r="K44" s="855">
        <v>533</v>
      </c>
      <c r="L44" s="855"/>
      <c r="M44" s="854">
        <f>SUM(N44:Q44)</f>
        <v>0</v>
      </c>
      <c r="N44" s="855"/>
      <c r="O44" s="855"/>
      <c r="P44" s="855">
        <f>'Информация о согл. объемах'!L37*1000</f>
        <v>0</v>
      </c>
      <c r="Q44" s="855"/>
      <c r="R44" s="854">
        <f>SUM(S44:V44)</f>
        <v>1014</v>
      </c>
      <c r="S44" s="855"/>
      <c r="T44" s="855"/>
      <c r="U44" s="855">
        <v>1014</v>
      </c>
      <c r="V44" s="855"/>
      <c r="W44" s="854">
        <f>SUM(X44:AA44)</f>
        <v>256</v>
      </c>
      <c r="X44" s="855"/>
      <c r="Y44" s="855"/>
      <c r="Z44" s="855">
        <v>256</v>
      </c>
      <c r="AA44" s="855"/>
      <c r="AB44" s="854">
        <f>SUM(AC44:AF44)</f>
        <v>286.3</v>
      </c>
      <c r="AC44" s="855"/>
      <c r="AD44" s="855"/>
      <c r="AE44" s="855">
        <f>'Информация о согл. объемах'!M41*1000</f>
        <v>286.3</v>
      </c>
      <c r="AF44" s="855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346"/>
      <c r="AU44" s="346"/>
      <c r="AV44" s="346"/>
      <c r="AW44" s="346"/>
      <c r="AX44" s="346"/>
      <c r="AY44" s="346"/>
      <c r="AZ44" s="346"/>
      <c r="BA44" s="346"/>
      <c r="BB44" s="346"/>
      <c r="BC44" s="346"/>
      <c r="BD44" s="346"/>
      <c r="BE44" s="346"/>
      <c r="BF44" s="346"/>
      <c r="BG44" s="346"/>
      <c r="BH44" s="346"/>
      <c r="BI44" s="346"/>
      <c r="BJ44" s="346"/>
      <c r="BK44" s="346"/>
      <c r="BL44" s="346"/>
      <c r="BM44" s="346"/>
      <c r="BN44" s="346"/>
      <c r="BO44" s="346"/>
      <c r="BP44" s="346"/>
      <c r="BQ44" s="346"/>
      <c r="BR44" s="346"/>
    </row>
    <row r="45" spans="1:70" s="342" customFormat="1">
      <c r="A45" s="375"/>
      <c r="B45" s="376" t="s">
        <v>383</v>
      </c>
      <c r="C45" s="856">
        <f t="shared" ref="C45:AA45" si="12">SUM(C41:C44)</f>
        <v>5773</v>
      </c>
      <c r="D45" s="856">
        <f t="shared" si="12"/>
        <v>0</v>
      </c>
      <c r="E45" s="856">
        <f t="shared" si="12"/>
        <v>2122</v>
      </c>
      <c r="F45" s="856">
        <f t="shared" si="12"/>
        <v>3651</v>
      </c>
      <c r="G45" s="856">
        <f t="shared" si="12"/>
        <v>0</v>
      </c>
      <c r="H45" s="856">
        <f t="shared" si="12"/>
        <v>4614</v>
      </c>
      <c r="I45" s="856">
        <f t="shared" si="12"/>
        <v>0</v>
      </c>
      <c r="J45" s="856">
        <f t="shared" si="12"/>
        <v>2262</v>
      </c>
      <c r="K45" s="856">
        <f t="shared" si="12"/>
        <v>2352</v>
      </c>
      <c r="L45" s="856">
        <f t="shared" si="12"/>
        <v>0</v>
      </c>
      <c r="M45" s="856">
        <f t="shared" si="12"/>
        <v>4789.7</v>
      </c>
      <c r="N45" s="856">
        <f t="shared" si="12"/>
        <v>0</v>
      </c>
      <c r="O45" s="856">
        <f t="shared" si="12"/>
        <v>2155.6000000000004</v>
      </c>
      <c r="P45" s="856">
        <f t="shared" si="12"/>
        <v>2634.1</v>
      </c>
      <c r="Q45" s="856">
        <f t="shared" si="12"/>
        <v>0</v>
      </c>
      <c r="R45" s="856">
        <f t="shared" si="12"/>
        <v>5774</v>
      </c>
      <c r="S45" s="856">
        <f t="shared" si="12"/>
        <v>0</v>
      </c>
      <c r="T45" s="856">
        <f t="shared" si="12"/>
        <v>2123</v>
      </c>
      <c r="U45" s="1010">
        <f t="shared" si="12"/>
        <v>3651</v>
      </c>
      <c r="V45" s="1010">
        <f t="shared" si="12"/>
        <v>0</v>
      </c>
      <c r="W45" s="856">
        <f t="shared" si="12"/>
        <v>5445</v>
      </c>
      <c r="X45" s="856">
        <f t="shared" si="12"/>
        <v>0</v>
      </c>
      <c r="Y45" s="856">
        <f t="shared" si="12"/>
        <v>2157</v>
      </c>
      <c r="Z45" s="856">
        <f t="shared" si="12"/>
        <v>3288</v>
      </c>
      <c r="AA45" s="856">
        <f t="shared" si="12"/>
        <v>0</v>
      </c>
      <c r="AB45" s="856">
        <f t="shared" ref="AB45:AF45" si="13">SUM(AB41:AB44)</f>
        <v>5079.3</v>
      </c>
      <c r="AC45" s="856">
        <f t="shared" si="13"/>
        <v>2426.8999999999996</v>
      </c>
      <c r="AD45" s="856">
        <f t="shared" si="13"/>
        <v>2366.1</v>
      </c>
      <c r="AE45" s="856">
        <f t="shared" si="13"/>
        <v>286.3</v>
      </c>
      <c r="AF45" s="856">
        <f t="shared" si="13"/>
        <v>0</v>
      </c>
      <c r="AG45" s="347"/>
      <c r="AH45" s="347"/>
      <c r="AI45" s="347"/>
      <c r="AJ45" s="347"/>
      <c r="AK45" s="347"/>
      <c r="AL45" s="347"/>
      <c r="AM45" s="347"/>
      <c r="AN45" s="347"/>
      <c r="AO45" s="347"/>
      <c r="AP45" s="347"/>
      <c r="AQ45" s="347"/>
      <c r="AR45" s="347"/>
      <c r="AS45" s="347"/>
      <c r="AT45" s="347"/>
      <c r="AU45" s="347"/>
      <c r="AV45" s="347"/>
      <c r="AW45" s="347"/>
      <c r="AX45" s="347"/>
      <c r="AY45" s="347"/>
      <c r="AZ45" s="347"/>
      <c r="BA45" s="347"/>
      <c r="BB45" s="347"/>
      <c r="BC45" s="347"/>
      <c r="BD45" s="347"/>
      <c r="BE45" s="347"/>
      <c r="BF45" s="347"/>
      <c r="BG45" s="347"/>
      <c r="BH45" s="347"/>
      <c r="BI45" s="347"/>
      <c r="BJ45" s="347"/>
      <c r="BK45" s="347"/>
      <c r="BL45" s="347"/>
      <c r="BM45" s="347"/>
      <c r="BN45" s="347"/>
      <c r="BO45" s="347"/>
      <c r="BP45" s="347"/>
      <c r="BQ45" s="347"/>
      <c r="BR45" s="347"/>
    </row>
    <row r="46" spans="1:70" s="342" customFormat="1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507"/>
      <c r="V46" s="350"/>
      <c r="W46" s="271"/>
      <c r="X46" s="271"/>
      <c r="Y46" s="271"/>
      <c r="Z46" s="507"/>
      <c r="AA46" s="350"/>
      <c r="AB46" s="271"/>
      <c r="AC46" s="271"/>
      <c r="AD46" s="271"/>
      <c r="AE46" s="507"/>
      <c r="AF46" s="350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1"/>
      <c r="BQ46" s="271"/>
      <c r="BR46" s="271"/>
    </row>
    <row r="47" spans="1:70" s="342" customFormat="1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507"/>
      <c r="V47" s="1009"/>
      <c r="W47" s="271"/>
      <c r="X47" s="271"/>
      <c r="Y47" s="271"/>
      <c r="Z47" s="507"/>
      <c r="AA47" s="1009"/>
      <c r="AB47" s="271"/>
      <c r="AC47" s="271"/>
      <c r="AD47" s="271"/>
      <c r="AE47" s="507"/>
      <c r="AF47" s="1009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</row>
    <row r="48" spans="1:70" s="342" customFormat="1" ht="12" customHeight="1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1117"/>
      <c r="Q48" s="1118"/>
      <c r="R48" s="271"/>
      <c r="S48" s="271"/>
      <c r="T48" s="271"/>
      <c r="U48" s="507"/>
      <c r="V48" s="1009">
        <v>5</v>
      </c>
      <c r="W48" s="271"/>
      <c r="X48" s="271"/>
      <c r="Y48" s="271"/>
      <c r="Z48" s="507"/>
      <c r="AA48" s="1009"/>
      <c r="AB48" s="271"/>
      <c r="AC48" s="271"/>
      <c r="AD48" s="271"/>
      <c r="AE48" s="507"/>
      <c r="AF48" s="1009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</row>
    <row r="49" spans="1:58" s="342" customFormat="1">
      <c r="A49" s="271"/>
      <c r="B49" s="348" t="s">
        <v>496</v>
      </c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</row>
    <row r="50" spans="1:58" s="342" customFormat="1">
      <c r="A50" s="371" t="s">
        <v>268</v>
      </c>
      <c r="B50" s="372" t="s">
        <v>494</v>
      </c>
      <c r="C50" s="349" t="s">
        <v>400</v>
      </c>
      <c r="D50" s="349" t="s">
        <v>384</v>
      </c>
      <c r="E50" s="349" t="s">
        <v>394</v>
      </c>
      <c r="F50" s="349" t="s">
        <v>395</v>
      </c>
      <c r="G50" s="349" t="s">
        <v>401</v>
      </c>
      <c r="H50" s="349" t="s">
        <v>400</v>
      </c>
      <c r="I50" s="349" t="s">
        <v>384</v>
      </c>
      <c r="J50" s="349" t="s">
        <v>394</v>
      </c>
      <c r="K50" s="349" t="s">
        <v>395</v>
      </c>
      <c r="L50" s="349" t="s">
        <v>401</v>
      </c>
      <c r="M50" s="349" t="s">
        <v>400</v>
      </c>
      <c r="N50" s="349" t="s">
        <v>384</v>
      </c>
      <c r="O50" s="349" t="s">
        <v>394</v>
      </c>
      <c r="P50" s="349" t="s">
        <v>395</v>
      </c>
      <c r="Q50" s="349" t="s">
        <v>401</v>
      </c>
      <c r="R50" s="349" t="s">
        <v>400</v>
      </c>
      <c r="S50" s="349" t="s">
        <v>384</v>
      </c>
      <c r="T50" s="349" t="s">
        <v>394</v>
      </c>
      <c r="U50" s="349" t="s">
        <v>395</v>
      </c>
      <c r="V50" s="349" t="s">
        <v>401</v>
      </c>
      <c r="W50" s="349" t="s">
        <v>400</v>
      </c>
      <c r="X50" s="349" t="s">
        <v>384</v>
      </c>
      <c r="Y50" s="349" t="s">
        <v>394</v>
      </c>
      <c r="Z50" s="349" t="s">
        <v>395</v>
      </c>
      <c r="AA50" s="349" t="s">
        <v>401</v>
      </c>
      <c r="AB50" s="349" t="s">
        <v>400</v>
      </c>
      <c r="AC50" s="349" t="s">
        <v>384</v>
      </c>
      <c r="AD50" s="349" t="s">
        <v>394</v>
      </c>
      <c r="AE50" s="349" t="s">
        <v>395</v>
      </c>
      <c r="AF50" s="349" t="s">
        <v>401</v>
      </c>
      <c r="AG50" s="343"/>
      <c r="AH50" s="343"/>
      <c r="AI50" s="343"/>
      <c r="AJ50" s="343"/>
      <c r="AK50" s="343"/>
      <c r="AL50" s="343"/>
      <c r="AM50" s="343"/>
      <c r="AN50" s="343"/>
      <c r="AO50" s="343"/>
      <c r="AP50" s="343"/>
      <c r="AQ50" s="343"/>
      <c r="AR50" s="343"/>
      <c r="AS50" s="343"/>
      <c r="AT50" s="343"/>
      <c r="AU50" s="343"/>
      <c r="AV50" s="343"/>
      <c r="AW50" s="343"/>
      <c r="AX50" s="343"/>
      <c r="AY50" s="343"/>
      <c r="AZ50" s="343"/>
      <c r="BA50" s="343"/>
      <c r="BB50" s="343"/>
      <c r="BC50" s="343"/>
      <c r="BD50" s="343"/>
      <c r="BE50" s="343"/>
      <c r="BF50" s="350"/>
    </row>
    <row r="51" spans="1:58" s="342" customFormat="1">
      <c r="A51" s="272"/>
      <c r="B51" s="351"/>
      <c r="C51" s="586">
        <f>SUM(D51:G51)</f>
        <v>0</v>
      </c>
      <c r="D51" s="584"/>
      <c r="E51" s="584"/>
      <c r="F51" s="584"/>
      <c r="G51" s="584"/>
      <c r="H51" s="586">
        <f>SUM(I51:L51)</f>
        <v>0</v>
      </c>
      <c r="I51" s="584"/>
      <c r="J51" s="584"/>
      <c r="K51" s="584"/>
      <c r="L51" s="584"/>
      <c r="M51" s="586">
        <f>SUM(N51:Q51)</f>
        <v>0</v>
      </c>
      <c r="N51" s="584"/>
      <c r="O51" s="584"/>
      <c r="P51" s="584"/>
      <c r="Q51" s="584"/>
      <c r="R51" s="586">
        <f>SUM(S51:V51)</f>
        <v>0</v>
      </c>
      <c r="S51" s="584"/>
      <c r="T51" s="584"/>
      <c r="U51" s="584"/>
      <c r="V51" s="584"/>
      <c r="W51" s="586">
        <f>SUM(X51:AA51)</f>
        <v>0</v>
      </c>
      <c r="X51" s="584"/>
      <c r="Y51" s="584"/>
      <c r="Z51" s="584"/>
      <c r="AA51" s="584"/>
      <c r="AB51" s="586">
        <f>SUM(AC51:AF51)</f>
        <v>0</v>
      </c>
      <c r="AC51" s="584"/>
      <c r="AD51" s="584"/>
      <c r="AE51" s="584"/>
      <c r="AF51" s="584"/>
      <c r="AG51" s="346"/>
      <c r="AH51" s="346"/>
      <c r="AI51" s="346"/>
      <c r="AJ51" s="346"/>
      <c r="AK51" s="346"/>
      <c r="AL51" s="346"/>
      <c r="AM51" s="346"/>
      <c r="AN51" s="346"/>
      <c r="AO51" s="346"/>
      <c r="AP51" s="346"/>
      <c r="AQ51" s="346"/>
      <c r="AR51" s="346"/>
      <c r="AS51" s="346"/>
      <c r="AT51" s="346"/>
      <c r="AU51" s="346"/>
      <c r="AV51" s="346"/>
      <c r="AW51" s="346"/>
      <c r="AX51" s="346"/>
      <c r="AY51" s="346"/>
      <c r="AZ51" s="346"/>
      <c r="BA51" s="346"/>
      <c r="BB51" s="346"/>
      <c r="BC51" s="346"/>
      <c r="BD51" s="346"/>
      <c r="BE51" s="346"/>
      <c r="BF51" s="350"/>
    </row>
    <row r="52" spans="1:58" s="342" customFormat="1">
      <c r="A52" s="272"/>
      <c r="B52" s="272"/>
      <c r="C52" s="586">
        <f>SUM(D52:G52)</f>
        <v>0</v>
      </c>
      <c r="D52" s="584"/>
      <c r="E52" s="584"/>
      <c r="F52" s="584"/>
      <c r="G52" s="584"/>
      <c r="H52" s="586">
        <f>SUM(I52:L52)</f>
        <v>0</v>
      </c>
      <c r="I52" s="584"/>
      <c r="J52" s="584"/>
      <c r="K52" s="584"/>
      <c r="L52" s="584"/>
      <c r="M52" s="586">
        <f>SUM(N52:Q52)</f>
        <v>0</v>
      </c>
      <c r="N52" s="584"/>
      <c r="O52" s="584"/>
      <c r="P52" s="584"/>
      <c r="Q52" s="584"/>
      <c r="R52" s="586">
        <f>SUM(S52:V52)</f>
        <v>0</v>
      </c>
      <c r="S52" s="584"/>
      <c r="T52" s="584"/>
      <c r="U52" s="584"/>
      <c r="V52" s="584"/>
      <c r="W52" s="586">
        <f>SUM(X52:AA52)</f>
        <v>0</v>
      </c>
      <c r="X52" s="584"/>
      <c r="Y52" s="584"/>
      <c r="Z52" s="584"/>
      <c r="AA52" s="584"/>
      <c r="AB52" s="586">
        <f>SUM(AC52:AF52)</f>
        <v>0</v>
      </c>
      <c r="AC52" s="584"/>
      <c r="AD52" s="584"/>
      <c r="AE52" s="584"/>
      <c r="AF52" s="584"/>
      <c r="AG52" s="346"/>
      <c r="AH52" s="346"/>
      <c r="AI52" s="346"/>
      <c r="AJ52" s="346"/>
      <c r="AK52" s="346"/>
      <c r="AL52" s="346"/>
      <c r="AM52" s="346"/>
      <c r="AN52" s="346"/>
      <c r="AO52" s="346"/>
      <c r="AP52" s="346"/>
      <c r="AQ52" s="346"/>
      <c r="AR52" s="346"/>
      <c r="AS52" s="346"/>
      <c r="AT52" s="346"/>
      <c r="AU52" s="346"/>
      <c r="AV52" s="346"/>
      <c r="AW52" s="346"/>
      <c r="AX52" s="346"/>
      <c r="AY52" s="346"/>
      <c r="AZ52" s="346"/>
      <c r="BA52" s="346"/>
      <c r="BB52" s="346"/>
      <c r="BC52" s="346"/>
      <c r="BD52" s="346"/>
      <c r="BE52" s="346"/>
      <c r="BF52" s="350"/>
    </row>
    <row r="53" spans="1:58" s="342" customFormat="1">
      <c r="A53" s="272"/>
      <c r="B53" s="272"/>
      <c r="C53" s="586">
        <f>SUM(D53:G53)</f>
        <v>0</v>
      </c>
      <c r="D53" s="584"/>
      <c r="E53" s="584"/>
      <c r="F53" s="584"/>
      <c r="G53" s="584"/>
      <c r="H53" s="586">
        <f>SUM(I53:L53)</f>
        <v>0</v>
      </c>
      <c r="I53" s="584"/>
      <c r="J53" s="584"/>
      <c r="K53" s="584"/>
      <c r="L53" s="584"/>
      <c r="M53" s="586">
        <f>SUM(N53:Q53)</f>
        <v>0</v>
      </c>
      <c r="N53" s="584"/>
      <c r="O53" s="584"/>
      <c r="P53" s="584"/>
      <c r="Q53" s="584"/>
      <c r="R53" s="586">
        <f>SUM(S53:V53)</f>
        <v>0</v>
      </c>
      <c r="S53" s="584"/>
      <c r="T53" s="584"/>
      <c r="U53" s="584"/>
      <c r="V53" s="584"/>
      <c r="W53" s="586">
        <f>SUM(X53:AA53)</f>
        <v>0</v>
      </c>
      <c r="X53" s="584"/>
      <c r="Y53" s="584"/>
      <c r="Z53" s="584"/>
      <c r="AA53" s="584"/>
      <c r="AB53" s="586">
        <f>SUM(AC53:AF53)</f>
        <v>0</v>
      </c>
      <c r="AC53" s="584"/>
      <c r="AD53" s="584"/>
      <c r="AE53" s="584"/>
      <c r="AF53" s="584"/>
      <c r="AG53" s="346"/>
      <c r="AH53" s="346"/>
      <c r="AI53" s="346"/>
      <c r="AJ53" s="346"/>
      <c r="AK53" s="346"/>
      <c r="AL53" s="346"/>
      <c r="AM53" s="346"/>
      <c r="AN53" s="346"/>
      <c r="AO53" s="346"/>
      <c r="AP53" s="346"/>
      <c r="AQ53" s="346"/>
      <c r="AR53" s="346"/>
      <c r="AS53" s="346"/>
      <c r="AT53" s="346"/>
      <c r="AU53" s="346"/>
      <c r="AV53" s="346"/>
      <c r="AW53" s="346"/>
      <c r="AX53" s="346"/>
      <c r="AY53" s="346"/>
      <c r="AZ53" s="346"/>
      <c r="BA53" s="346"/>
      <c r="BB53" s="346"/>
      <c r="BC53" s="346"/>
      <c r="BD53" s="346"/>
      <c r="BE53" s="346"/>
      <c r="BF53" s="350"/>
    </row>
    <row r="54" spans="1:58" s="342" customFormat="1">
      <c r="A54" s="1746"/>
      <c r="B54" s="1746"/>
      <c r="C54" s="587"/>
      <c r="D54" s="587"/>
      <c r="E54" s="587"/>
      <c r="F54" s="587"/>
      <c r="G54" s="587"/>
      <c r="H54" s="587"/>
      <c r="I54" s="587"/>
      <c r="J54" s="587"/>
      <c r="K54" s="587"/>
      <c r="L54" s="587"/>
      <c r="M54" s="587"/>
      <c r="N54" s="587"/>
      <c r="O54" s="587"/>
      <c r="P54" s="587"/>
      <c r="Q54" s="587"/>
      <c r="R54" s="587"/>
      <c r="S54" s="587"/>
      <c r="T54" s="587"/>
      <c r="U54" s="587"/>
      <c r="V54" s="587"/>
      <c r="W54" s="587"/>
      <c r="X54" s="587"/>
      <c r="Y54" s="587"/>
      <c r="Z54" s="587"/>
      <c r="AA54" s="587"/>
      <c r="AB54" s="587"/>
      <c r="AC54" s="587"/>
      <c r="AD54" s="587"/>
      <c r="AE54" s="587"/>
      <c r="AF54" s="587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350"/>
    </row>
    <row r="55" spans="1:58" s="342" customFormat="1">
      <c r="A55" s="375"/>
      <c r="B55" s="376" t="s">
        <v>383</v>
      </c>
      <c r="C55" s="588">
        <f t="shared" ref="C55:V55" si="14">SUM(C51:C53)</f>
        <v>0</v>
      </c>
      <c r="D55" s="588">
        <f t="shared" si="14"/>
        <v>0</v>
      </c>
      <c r="E55" s="588">
        <f t="shared" si="14"/>
        <v>0</v>
      </c>
      <c r="F55" s="588">
        <f t="shared" si="14"/>
        <v>0</v>
      </c>
      <c r="G55" s="588">
        <f t="shared" si="14"/>
        <v>0</v>
      </c>
      <c r="H55" s="588">
        <f t="shared" si="14"/>
        <v>0</v>
      </c>
      <c r="I55" s="588">
        <f t="shared" si="14"/>
        <v>0</v>
      </c>
      <c r="J55" s="588">
        <f t="shared" si="14"/>
        <v>0</v>
      </c>
      <c r="K55" s="588">
        <f t="shared" si="14"/>
        <v>0</v>
      </c>
      <c r="L55" s="588">
        <f t="shared" si="14"/>
        <v>0</v>
      </c>
      <c r="M55" s="588">
        <f>SUM(M51:M53)</f>
        <v>0</v>
      </c>
      <c r="N55" s="588">
        <f>SUM(N51:N53)</f>
        <v>0</v>
      </c>
      <c r="O55" s="588">
        <f>SUM(O51:O53)</f>
        <v>0</v>
      </c>
      <c r="P55" s="588">
        <f>SUM(P51:P53)</f>
        <v>0</v>
      </c>
      <c r="Q55" s="588">
        <f>SUM(Q51:Q53)</f>
        <v>0</v>
      </c>
      <c r="R55" s="588">
        <f t="shared" si="14"/>
        <v>0</v>
      </c>
      <c r="S55" s="588">
        <f t="shared" si="14"/>
        <v>0</v>
      </c>
      <c r="T55" s="588">
        <f t="shared" si="14"/>
        <v>0</v>
      </c>
      <c r="U55" s="588">
        <f t="shared" si="14"/>
        <v>0</v>
      </c>
      <c r="V55" s="588">
        <f t="shared" si="14"/>
        <v>0</v>
      </c>
      <c r="W55" s="588">
        <f t="shared" ref="W55:AF55" si="15">SUM(W51:W53)</f>
        <v>0</v>
      </c>
      <c r="X55" s="588">
        <f t="shared" si="15"/>
        <v>0</v>
      </c>
      <c r="Y55" s="588">
        <f t="shared" si="15"/>
        <v>0</v>
      </c>
      <c r="Z55" s="588">
        <f t="shared" si="15"/>
        <v>0</v>
      </c>
      <c r="AA55" s="588">
        <f t="shared" si="15"/>
        <v>0</v>
      </c>
      <c r="AB55" s="588">
        <f t="shared" si="15"/>
        <v>0</v>
      </c>
      <c r="AC55" s="588">
        <f t="shared" si="15"/>
        <v>0</v>
      </c>
      <c r="AD55" s="588">
        <f t="shared" si="15"/>
        <v>0</v>
      </c>
      <c r="AE55" s="588">
        <f t="shared" si="15"/>
        <v>0</v>
      </c>
      <c r="AF55" s="588">
        <f t="shared" si="15"/>
        <v>0</v>
      </c>
      <c r="AG55" s="352"/>
      <c r="AH55" s="352"/>
      <c r="AI55" s="352"/>
      <c r="AJ55" s="352"/>
      <c r="AK55" s="352"/>
      <c r="AL55" s="352"/>
      <c r="AM55" s="352"/>
      <c r="AN55" s="352"/>
      <c r="AO55" s="352"/>
      <c r="AP55" s="352"/>
      <c r="AQ55" s="352"/>
      <c r="AR55" s="352"/>
      <c r="AS55" s="352"/>
      <c r="AT55" s="352"/>
      <c r="AU55" s="352"/>
      <c r="AV55" s="352"/>
      <c r="AW55" s="352"/>
      <c r="AX55" s="352"/>
      <c r="AY55" s="352"/>
      <c r="AZ55" s="352"/>
      <c r="BA55" s="352"/>
      <c r="BB55" s="352"/>
      <c r="BC55" s="352"/>
      <c r="BD55" s="352"/>
      <c r="BE55" s="352"/>
      <c r="BF55" s="350"/>
    </row>
    <row r="56" spans="1:58" s="342" customFormat="1" hidden="1">
      <c r="B56" s="353"/>
    </row>
    <row r="57" spans="1:58" s="342" customFormat="1" hidden="1">
      <c r="B57" s="353"/>
    </row>
    <row r="58" spans="1:58" s="342" customFormat="1">
      <c r="A58" s="271"/>
      <c r="B58" s="348" t="s">
        <v>593</v>
      </c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</row>
    <row r="59" spans="1:58" s="342" customFormat="1">
      <c r="A59" s="378" t="s">
        <v>268</v>
      </c>
      <c r="B59" s="372" t="s">
        <v>497</v>
      </c>
      <c r="C59" s="363" t="s">
        <v>400</v>
      </c>
      <c r="D59" s="363" t="s">
        <v>384</v>
      </c>
      <c r="E59" s="363" t="s">
        <v>394</v>
      </c>
      <c r="F59" s="363" t="s">
        <v>395</v>
      </c>
      <c r="G59" s="363" t="s">
        <v>401</v>
      </c>
      <c r="H59" s="363" t="s">
        <v>400</v>
      </c>
      <c r="I59" s="363" t="s">
        <v>384</v>
      </c>
      <c r="J59" s="363" t="s">
        <v>394</v>
      </c>
      <c r="K59" s="363" t="s">
        <v>395</v>
      </c>
      <c r="L59" s="363" t="s">
        <v>401</v>
      </c>
      <c r="M59" s="363" t="s">
        <v>400</v>
      </c>
      <c r="N59" s="363" t="s">
        <v>384</v>
      </c>
      <c r="O59" s="363" t="s">
        <v>394</v>
      </c>
      <c r="P59" s="363" t="s">
        <v>395</v>
      </c>
      <c r="Q59" s="363" t="s">
        <v>401</v>
      </c>
      <c r="R59" s="363" t="s">
        <v>400</v>
      </c>
      <c r="S59" s="363" t="s">
        <v>384</v>
      </c>
      <c r="T59" s="363" t="s">
        <v>394</v>
      </c>
      <c r="U59" s="363" t="s">
        <v>395</v>
      </c>
      <c r="V59" s="363" t="s">
        <v>401</v>
      </c>
      <c r="W59" s="363" t="s">
        <v>400</v>
      </c>
      <c r="X59" s="363" t="s">
        <v>384</v>
      </c>
      <c r="Y59" s="363" t="s">
        <v>394</v>
      </c>
      <c r="Z59" s="363" t="s">
        <v>395</v>
      </c>
      <c r="AA59" s="363" t="s">
        <v>401</v>
      </c>
      <c r="AB59" s="363" t="s">
        <v>400</v>
      </c>
      <c r="AC59" s="363" t="s">
        <v>384</v>
      </c>
      <c r="AD59" s="363" t="s">
        <v>394</v>
      </c>
      <c r="AE59" s="363" t="s">
        <v>395</v>
      </c>
      <c r="AF59" s="363" t="s">
        <v>401</v>
      </c>
    </row>
    <row r="60" spans="1:58" s="342" customFormat="1">
      <c r="A60" s="244" t="s">
        <v>250</v>
      </c>
      <c r="B60" s="351" t="s">
        <v>502</v>
      </c>
      <c r="C60" s="583">
        <f>D60+E60+F60+G60</f>
        <v>21575.741733974657</v>
      </c>
      <c r="D60" s="583">
        <f>D61+D62</f>
        <v>0</v>
      </c>
      <c r="E60" s="583">
        <f>E61+E62</f>
        <v>0</v>
      </c>
      <c r="F60" s="583">
        <f>F61+F62</f>
        <v>7930.8302007521052</v>
      </c>
      <c r="G60" s="583">
        <f>G61+G62</f>
        <v>13644.911533222552</v>
      </c>
      <c r="H60" s="583">
        <f>I60+J60+K60+L60</f>
        <v>16255.540943022599</v>
      </c>
      <c r="I60" s="583">
        <f>I61+I62</f>
        <v>0</v>
      </c>
      <c r="J60" s="583">
        <f>J61+J62</f>
        <v>0</v>
      </c>
      <c r="K60" s="583">
        <f>K61+K62</f>
        <v>2466.4060094176366</v>
      </c>
      <c r="L60" s="583">
        <f>L61+L62</f>
        <v>13789.134933604962</v>
      </c>
      <c r="M60" s="583">
        <f>N60+O60+P60+Q60</f>
        <v>22654</v>
      </c>
      <c r="N60" s="583">
        <f>N61+N62</f>
        <v>0</v>
      </c>
      <c r="O60" s="583">
        <f>O61+O62</f>
        <v>0</v>
      </c>
      <c r="P60" s="583">
        <f>P61+P62</f>
        <v>8454.4790318983414</v>
      </c>
      <c r="Q60" s="583">
        <f>Q61+Q62</f>
        <v>14199.52096810166</v>
      </c>
      <c r="R60" s="583">
        <f>S60+T60+U60+V60</f>
        <v>22247.448665474349</v>
      </c>
      <c r="S60" s="583">
        <f>S61+S62</f>
        <v>0</v>
      </c>
      <c r="T60" s="583">
        <f>T61+T62</f>
        <v>0</v>
      </c>
      <c r="U60" s="583">
        <f>U61+U62</f>
        <v>8177.7368278370832</v>
      </c>
      <c r="V60" s="583">
        <f>V61+V62</f>
        <v>14069.711837637265</v>
      </c>
      <c r="W60" s="583">
        <f>X60+Y60+Z60+AA60</f>
        <v>23434.999999999996</v>
      </c>
      <c r="X60" s="583">
        <f>X61+X62</f>
        <v>0</v>
      </c>
      <c r="Y60" s="583">
        <f>Y61+Y62</f>
        <v>0</v>
      </c>
      <c r="Z60" s="583">
        <f>Z61+Z62</f>
        <v>8745.9484467439561</v>
      </c>
      <c r="AA60" s="583">
        <f>AA61+AA62</f>
        <v>14689.05155325604</v>
      </c>
      <c r="AB60" s="583">
        <f>AC60+AD60+AE60+AF60</f>
        <v>23295.200000000001</v>
      </c>
      <c r="AC60" s="583">
        <f>AC61+AC62</f>
        <v>0</v>
      </c>
      <c r="AD60" s="583">
        <f>AD61+AD62</f>
        <v>0</v>
      </c>
      <c r="AE60" s="583">
        <f>AE61+AE62</f>
        <v>8243.2760569476632</v>
      </c>
      <c r="AF60" s="583">
        <f>AF61+AF62</f>
        <v>15051.923943052338</v>
      </c>
      <c r="AG60" s="1116"/>
    </row>
    <row r="61" spans="1:58" s="342" customFormat="1">
      <c r="A61" s="244" t="s">
        <v>403</v>
      </c>
      <c r="B61" s="351" t="s">
        <v>498</v>
      </c>
      <c r="C61" s="583">
        <f t="shared" ref="C61:C71" si="16">D61+E61+F61+G61</f>
        <v>10371.439562075819</v>
      </c>
      <c r="D61" s="584"/>
      <c r="E61" s="584"/>
      <c r="F61" s="584">
        <v>7930.8302007521052</v>
      </c>
      <c r="G61" s="584">
        <v>2440.6093613237144</v>
      </c>
      <c r="H61" s="583">
        <f t="shared" ref="H61:H71" si="17">I61+J61+K61+L61</f>
        <v>4932.8120188352732</v>
      </c>
      <c r="I61" s="584"/>
      <c r="J61" s="584"/>
      <c r="K61" s="584">
        <v>2466.4060094176366</v>
      </c>
      <c r="L61" s="584">
        <v>2466.4060094176366</v>
      </c>
      <c r="M61" s="583">
        <f t="shared" ref="M61:M71" si="18">N61+O61+P61+Q61</f>
        <v>11323.364292895883</v>
      </c>
      <c r="N61" s="584"/>
      <c r="O61" s="584"/>
      <c r="P61" s="584">
        <v>8454.4790318983414</v>
      </c>
      <c r="Q61" s="584">
        <v>2868.8852609975411</v>
      </c>
      <c r="R61" s="583">
        <f t="shared" ref="R61:R71" si="19">S61+T61+U61+V61</f>
        <v>10694.328477292413</v>
      </c>
      <c r="S61" s="584"/>
      <c r="T61" s="584"/>
      <c r="U61" s="584">
        <v>8177.7368278370832</v>
      </c>
      <c r="V61" s="584">
        <v>2516.5916494553294</v>
      </c>
      <c r="W61" s="583">
        <f t="shared" ref="W61:W71" si="20">X61+Y61+Z61+AA61</f>
        <v>11713.738951355828</v>
      </c>
      <c r="X61" s="584"/>
      <c r="Y61" s="584"/>
      <c r="Z61" s="584">
        <v>8745.9484467439561</v>
      </c>
      <c r="AA61" s="584">
        <v>2967.7905046118726</v>
      </c>
      <c r="AB61" s="583">
        <f t="shared" ref="AB61:AB71" si="21">AC61+AD61+AE61+AF61</f>
        <v>10911.749829386914</v>
      </c>
      <c r="AC61" s="584"/>
      <c r="AD61" s="584"/>
      <c r="AE61" s="584">
        <v>8243.2760569476632</v>
      </c>
      <c r="AF61" s="584">
        <v>2668.4737724392517</v>
      </c>
    </row>
    <row r="62" spans="1:58" s="342" customFormat="1">
      <c r="A62" s="244" t="s">
        <v>404</v>
      </c>
      <c r="B62" s="351" t="s">
        <v>499</v>
      </c>
      <c r="C62" s="583">
        <f t="shared" si="16"/>
        <v>11204.302171898838</v>
      </c>
      <c r="D62" s="584"/>
      <c r="E62" s="584"/>
      <c r="F62" s="584"/>
      <c r="G62" s="584">
        <v>11204.302171898838</v>
      </c>
      <c r="H62" s="583">
        <f t="shared" si="17"/>
        <v>11322.728924187326</v>
      </c>
      <c r="I62" s="584"/>
      <c r="J62" s="584"/>
      <c r="K62" s="584"/>
      <c r="L62" s="584">
        <v>11322.728924187326</v>
      </c>
      <c r="M62" s="583">
        <f t="shared" si="18"/>
        <v>11330.635707104118</v>
      </c>
      <c r="N62" s="584"/>
      <c r="O62" s="584"/>
      <c r="P62" s="584"/>
      <c r="Q62" s="584">
        <v>11330.635707104118</v>
      </c>
      <c r="R62" s="583">
        <f t="shared" si="19"/>
        <v>11553.120188181936</v>
      </c>
      <c r="S62" s="584"/>
      <c r="T62" s="584"/>
      <c r="U62" s="584"/>
      <c r="V62" s="584">
        <v>11553.120188181936</v>
      </c>
      <c r="W62" s="583">
        <f t="shared" si="20"/>
        <v>11721.261048644168</v>
      </c>
      <c r="X62" s="584"/>
      <c r="Y62" s="584"/>
      <c r="Z62" s="584"/>
      <c r="AA62" s="584">
        <v>11721.261048644168</v>
      </c>
      <c r="AB62" s="583">
        <f t="shared" si="21"/>
        <v>12383.450170613087</v>
      </c>
      <c r="AC62" s="584"/>
      <c r="AD62" s="584"/>
      <c r="AE62" s="584"/>
      <c r="AF62" s="584">
        <v>12383.450170613087</v>
      </c>
      <c r="AK62" s="1116"/>
    </row>
    <row r="63" spans="1:58" s="342" customFormat="1">
      <c r="A63" s="244" t="s">
        <v>246</v>
      </c>
      <c r="B63" s="351" t="s">
        <v>503</v>
      </c>
      <c r="C63" s="583">
        <f t="shared" si="16"/>
        <v>0</v>
      </c>
      <c r="D63" s="583">
        <f>D64+D65</f>
        <v>0</v>
      </c>
      <c r="E63" s="583">
        <f>E64+E65</f>
        <v>0</v>
      </c>
      <c r="F63" s="583">
        <f>F64+F65</f>
        <v>0</v>
      </c>
      <c r="G63" s="583">
        <f>G64+G65</f>
        <v>0</v>
      </c>
      <c r="H63" s="583">
        <f t="shared" si="17"/>
        <v>0</v>
      </c>
      <c r="I63" s="583">
        <f>I64+I65</f>
        <v>0</v>
      </c>
      <c r="J63" s="583">
        <f>J64+J65</f>
        <v>0</v>
      </c>
      <c r="K63" s="583">
        <f>K64+K65</f>
        <v>0</v>
      </c>
      <c r="L63" s="583">
        <f>L64+L65</f>
        <v>0</v>
      </c>
      <c r="M63" s="583">
        <f t="shared" si="18"/>
        <v>0</v>
      </c>
      <c r="N63" s="583">
        <f>N64+N65</f>
        <v>0</v>
      </c>
      <c r="O63" s="583">
        <f>O64+O65</f>
        <v>0</v>
      </c>
      <c r="P63" s="583">
        <f>P64+P65</f>
        <v>0</v>
      </c>
      <c r="Q63" s="583">
        <f>Q64+Q65</f>
        <v>0</v>
      </c>
      <c r="R63" s="583">
        <f t="shared" si="19"/>
        <v>0</v>
      </c>
      <c r="S63" s="583">
        <f>S64+S65</f>
        <v>0</v>
      </c>
      <c r="T63" s="583">
        <f>T64+T65</f>
        <v>0</v>
      </c>
      <c r="U63" s="583">
        <f>U64+U65</f>
        <v>0</v>
      </c>
      <c r="V63" s="583">
        <f>V64+V65</f>
        <v>0</v>
      </c>
      <c r="W63" s="583">
        <f t="shared" si="20"/>
        <v>0</v>
      </c>
      <c r="X63" s="583">
        <f>X64+X65</f>
        <v>0</v>
      </c>
      <c r="Y63" s="583">
        <f>Y64+Y65</f>
        <v>0</v>
      </c>
      <c r="Z63" s="583">
        <f>Z64+Z65</f>
        <v>0</v>
      </c>
      <c r="AA63" s="583">
        <f>AA64+AA65</f>
        <v>0</v>
      </c>
      <c r="AB63" s="583">
        <f t="shared" si="21"/>
        <v>0</v>
      </c>
      <c r="AC63" s="583">
        <f>AC64+AC65</f>
        <v>0</v>
      </c>
      <c r="AD63" s="583">
        <f>AD64+AD65</f>
        <v>0</v>
      </c>
      <c r="AE63" s="583">
        <f>AE64+AE65</f>
        <v>0</v>
      </c>
      <c r="AF63" s="583">
        <f>AF64+AF65</f>
        <v>0</v>
      </c>
    </row>
    <row r="64" spans="1:58" s="342" customFormat="1">
      <c r="A64" s="244" t="s">
        <v>272</v>
      </c>
      <c r="B64" s="351" t="s">
        <v>498</v>
      </c>
      <c r="C64" s="583">
        <f t="shared" si="16"/>
        <v>0</v>
      </c>
      <c r="D64" s="584"/>
      <c r="E64" s="584"/>
      <c r="F64" s="584"/>
      <c r="G64" s="584"/>
      <c r="H64" s="583">
        <f t="shared" si="17"/>
        <v>0</v>
      </c>
      <c r="I64" s="584"/>
      <c r="J64" s="584"/>
      <c r="K64" s="584"/>
      <c r="L64" s="584"/>
      <c r="M64" s="583">
        <f t="shared" si="18"/>
        <v>0</v>
      </c>
      <c r="N64" s="584"/>
      <c r="O64" s="584"/>
      <c r="P64" s="584"/>
      <c r="Q64" s="584"/>
      <c r="R64" s="583">
        <f t="shared" si="19"/>
        <v>0</v>
      </c>
      <c r="S64" s="584"/>
      <c r="T64" s="584"/>
      <c r="U64" s="584"/>
      <c r="V64" s="584"/>
      <c r="W64" s="583">
        <f t="shared" si="20"/>
        <v>0</v>
      </c>
      <c r="X64" s="584"/>
      <c r="Y64" s="584"/>
      <c r="Z64" s="584"/>
      <c r="AA64" s="584"/>
      <c r="AB64" s="583">
        <f t="shared" si="21"/>
        <v>0</v>
      </c>
      <c r="AC64" s="584"/>
      <c r="AD64" s="584"/>
      <c r="AE64" s="584"/>
      <c r="AF64" s="584"/>
    </row>
    <row r="65" spans="1:32" s="342" customFormat="1">
      <c r="A65" s="244" t="s">
        <v>275</v>
      </c>
      <c r="B65" s="351" t="s">
        <v>499</v>
      </c>
      <c r="C65" s="583">
        <f t="shared" si="16"/>
        <v>0</v>
      </c>
      <c r="D65" s="584"/>
      <c r="E65" s="584"/>
      <c r="F65" s="584"/>
      <c r="G65" s="584"/>
      <c r="H65" s="583">
        <f t="shared" si="17"/>
        <v>0</v>
      </c>
      <c r="I65" s="584"/>
      <c r="J65" s="584"/>
      <c r="K65" s="584"/>
      <c r="L65" s="584"/>
      <c r="M65" s="583">
        <f t="shared" si="18"/>
        <v>0</v>
      </c>
      <c r="N65" s="584"/>
      <c r="O65" s="584"/>
      <c r="P65" s="584"/>
      <c r="Q65" s="584"/>
      <c r="R65" s="583">
        <f t="shared" si="19"/>
        <v>0</v>
      </c>
      <c r="S65" s="584"/>
      <c r="T65" s="584"/>
      <c r="U65" s="584"/>
      <c r="V65" s="584"/>
      <c r="W65" s="583">
        <f t="shared" si="20"/>
        <v>0</v>
      </c>
      <c r="X65" s="584"/>
      <c r="Y65" s="584"/>
      <c r="Z65" s="584"/>
      <c r="AA65" s="584"/>
      <c r="AB65" s="583">
        <f t="shared" si="21"/>
        <v>0</v>
      </c>
      <c r="AC65" s="584"/>
      <c r="AD65" s="584"/>
      <c r="AE65" s="584"/>
      <c r="AF65" s="584"/>
    </row>
    <row r="66" spans="1:32" s="342" customFormat="1">
      <c r="A66" s="244" t="s">
        <v>251</v>
      </c>
      <c r="B66" s="351" t="s">
        <v>500</v>
      </c>
      <c r="C66" s="583">
        <f t="shared" si="16"/>
        <v>0</v>
      </c>
      <c r="D66" s="583">
        <f>D67+D68</f>
        <v>0</v>
      </c>
      <c r="E66" s="583">
        <f>E67+E68</f>
        <v>0</v>
      </c>
      <c r="F66" s="583">
        <f>F67+F68</f>
        <v>0</v>
      </c>
      <c r="G66" s="583">
        <f>G67+G68</f>
        <v>0</v>
      </c>
      <c r="H66" s="583">
        <f t="shared" si="17"/>
        <v>0</v>
      </c>
      <c r="I66" s="583">
        <f>I67+I68</f>
        <v>0</v>
      </c>
      <c r="J66" s="583">
        <f>J67+J68</f>
        <v>0</v>
      </c>
      <c r="K66" s="583">
        <f>K67+K68</f>
        <v>0</v>
      </c>
      <c r="L66" s="583">
        <f>L67+L68</f>
        <v>0</v>
      </c>
      <c r="M66" s="583">
        <f t="shared" si="18"/>
        <v>0</v>
      </c>
      <c r="N66" s="583">
        <f>N67+N68</f>
        <v>0</v>
      </c>
      <c r="O66" s="583">
        <f>O67+O68</f>
        <v>0</v>
      </c>
      <c r="P66" s="583">
        <f>P67+P68</f>
        <v>0</v>
      </c>
      <c r="Q66" s="583">
        <f>Q67+Q68</f>
        <v>0</v>
      </c>
      <c r="R66" s="583">
        <f t="shared" si="19"/>
        <v>0</v>
      </c>
      <c r="S66" s="583">
        <f>S67+S68</f>
        <v>0</v>
      </c>
      <c r="T66" s="583">
        <f>T67+T68</f>
        <v>0</v>
      </c>
      <c r="U66" s="583">
        <f>U67+U68</f>
        <v>0</v>
      </c>
      <c r="V66" s="583">
        <f>V67+V68</f>
        <v>0</v>
      </c>
      <c r="W66" s="583">
        <f t="shared" si="20"/>
        <v>0</v>
      </c>
      <c r="X66" s="583">
        <f>X67+X68</f>
        <v>0</v>
      </c>
      <c r="Y66" s="583">
        <f>Y67+Y68</f>
        <v>0</v>
      </c>
      <c r="Z66" s="583">
        <f>Z67+Z68</f>
        <v>0</v>
      </c>
      <c r="AA66" s="583">
        <f>AA67+AA68</f>
        <v>0</v>
      </c>
      <c r="AB66" s="583">
        <f t="shared" si="21"/>
        <v>0</v>
      </c>
      <c r="AC66" s="583">
        <f>AC67+AC68</f>
        <v>0</v>
      </c>
      <c r="AD66" s="583">
        <f>AD67+AD68</f>
        <v>0</v>
      </c>
      <c r="AE66" s="583">
        <f>AE67+AE68</f>
        <v>0</v>
      </c>
      <c r="AF66" s="583">
        <f>AF67+AF68</f>
        <v>0</v>
      </c>
    </row>
    <row r="67" spans="1:32" s="342" customFormat="1">
      <c r="A67" s="244" t="s">
        <v>414</v>
      </c>
      <c r="B67" s="351" t="s">
        <v>498</v>
      </c>
      <c r="C67" s="583">
        <f t="shared" si="16"/>
        <v>0</v>
      </c>
      <c r="D67" s="584"/>
      <c r="E67" s="584"/>
      <c r="F67" s="584"/>
      <c r="G67" s="584"/>
      <c r="H67" s="583">
        <f t="shared" si="17"/>
        <v>0</v>
      </c>
      <c r="I67" s="584"/>
      <c r="J67" s="584"/>
      <c r="K67" s="584"/>
      <c r="L67" s="584"/>
      <c r="M67" s="583">
        <f t="shared" si="18"/>
        <v>0</v>
      </c>
      <c r="N67" s="584"/>
      <c r="O67" s="584"/>
      <c r="P67" s="584"/>
      <c r="Q67" s="584"/>
      <c r="R67" s="583">
        <f t="shared" si="19"/>
        <v>0</v>
      </c>
      <c r="S67" s="584"/>
      <c r="T67" s="584"/>
      <c r="U67" s="584"/>
      <c r="V67" s="584"/>
      <c r="W67" s="583">
        <f t="shared" si="20"/>
        <v>0</v>
      </c>
      <c r="X67" s="584"/>
      <c r="Y67" s="584"/>
      <c r="Z67" s="584"/>
      <c r="AA67" s="584"/>
      <c r="AB67" s="583">
        <f t="shared" si="21"/>
        <v>0</v>
      </c>
      <c r="AC67" s="584"/>
      <c r="AD67" s="584"/>
      <c r="AE67" s="584"/>
      <c r="AF67" s="584"/>
    </row>
    <row r="68" spans="1:32" s="342" customFormat="1">
      <c r="A68" s="244" t="s">
        <v>415</v>
      </c>
      <c r="B68" s="351" t="s">
        <v>499</v>
      </c>
      <c r="C68" s="583">
        <f t="shared" si="16"/>
        <v>0</v>
      </c>
      <c r="D68" s="584"/>
      <c r="E68" s="584"/>
      <c r="F68" s="584"/>
      <c r="G68" s="584"/>
      <c r="H68" s="583">
        <f t="shared" si="17"/>
        <v>0</v>
      </c>
      <c r="I68" s="584"/>
      <c r="J68" s="584"/>
      <c r="K68" s="584"/>
      <c r="L68" s="584"/>
      <c r="M68" s="583">
        <f t="shared" si="18"/>
        <v>0</v>
      </c>
      <c r="N68" s="584"/>
      <c r="O68" s="584"/>
      <c r="P68" s="584"/>
      <c r="Q68" s="584"/>
      <c r="R68" s="583">
        <f t="shared" si="19"/>
        <v>0</v>
      </c>
      <c r="S68" s="584"/>
      <c r="T68" s="584"/>
      <c r="U68" s="584"/>
      <c r="V68" s="584"/>
      <c r="W68" s="583">
        <f t="shared" si="20"/>
        <v>0</v>
      </c>
      <c r="X68" s="584"/>
      <c r="Y68" s="584"/>
      <c r="Z68" s="584"/>
      <c r="AA68" s="584"/>
      <c r="AB68" s="583">
        <f t="shared" si="21"/>
        <v>0</v>
      </c>
      <c r="AC68" s="584"/>
      <c r="AD68" s="584"/>
      <c r="AE68" s="584"/>
      <c r="AF68" s="584"/>
    </row>
    <row r="69" spans="1:32" s="342" customFormat="1">
      <c r="A69" s="244" t="s">
        <v>253</v>
      </c>
      <c r="B69" s="351" t="s">
        <v>589</v>
      </c>
      <c r="C69" s="583">
        <f t="shared" si="16"/>
        <v>794.80700000000002</v>
      </c>
      <c r="D69" s="583">
        <f>D70+D71</f>
        <v>0</v>
      </c>
      <c r="E69" s="583">
        <f>E70+E71</f>
        <v>0</v>
      </c>
      <c r="F69" s="583">
        <f>F70+F71</f>
        <v>544.45899999999995</v>
      </c>
      <c r="G69" s="583">
        <f>G70+G71</f>
        <v>250.34800000000001</v>
      </c>
      <c r="H69" s="583">
        <f t="shared" si="17"/>
        <v>0</v>
      </c>
      <c r="I69" s="583">
        <f>I70+I71</f>
        <v>0</v>
      </c>
      <c r="J69" s="583">
        <f>J70+J71</f>
        <v>0</v>
      </c>
      <c r="K69" s="583">
        <f>K70+K71</f>
        <v>0</v>
      </c>
      <c r="L69" s="583">
        <f>L70+L71</f>
        <v>0</v>
      </c>
      <c r="M69" s="583">
        <f t="shared" si="18"/>
        <v>0</v>
      </c>
      <c r="N69" s="583">
        <f>N70+N71</f>
        <v>0</v>
      </c>
      <c r="O69" s="583">
        <f>O70+O71</f>
        <v>0</v>
      </c>
      <c r="P69" s="583">
        <f>P70+P71</f>
        <v>0</v>
      </c>
      <c r="Q69" s="583">
        <f>Q70+Q71</f>
        <v>0</v>
      </c>
      <c r="R69" s="583">
        <f t="shared" si="19"/>
        <v>0</v>
      </c>
      <c r="S69" s="583">
        <f>S70+S71</f>
        <v>0</v>
      </c>
      <c r="T69" s="583">
        <f>T70+T71</f>
        <v>0</v>
      </c>
      <c r="U69" s="583">
        <f>U70+U71</f>
        <v>0</v>
      </c>
      <c r="V69" s="583">
        <f>V70+V71</f>
        <v>0</v>
      </c>
      <c r="W69" s="583">
        <f t="shared" si="20"/>
        <v>0</v>
      </c>
      <c r="X69" s="583">
        <f>X70+X71</f>
        <v>0</v>
      </c>
      <c r="Y69" s="583">
        <f>Y70+Y71</f>
        <v>0</v>
      </c>
      <c r="Z69" s="583">
        <f>Z70+Z71</f>
        <v>0</v>
      </c>
      <c r="AA69" s="583">
        <f>AA70+AA71</f>
        <v>0</v>
      </c>
      <c r="AB69" s="583">
        <f t="shared" si="21"/>
        <v>0</v>
      </c>
      <c r="AC69" s="583">
        <f>AC70+AC71</f>
        <v>0</v>
      </c>
      <c r="AD69" s="583">
        <f>AD70+AD71</f>
        <v>0</v>
      </c>
      <c r="AE69" s="583">
        <f>AE70+AE71</f>
        <v>0</v>
      </c>
      <c r="AF69" s="583">
        <f>AF70+AF71</f>
        <v>0</v>
      </c>
    </row>
    <row r="70" spans="1:32" s="342" customFormat="1">
      <c r="A70" s="244" t="s">
        <v>408</v>
      </c>
      <c r="B70" s="351" t="s">
        <v>498</v>
      </c>
      <c r="C70" s="583">
        <f t="shared" si="16"/>
        <v>794.80700000000002</v>
      </c>
      <c r="D70" s="584"/>
      <c r="E70" s="584"/>
      <c r="F70" s="584">
        <v>544.45899999999995</v>
      </c>
      <c r="G70" s="584">
        <v>250.34800000000001</v>
      </c>
      <c r="H70" s="583">
        <f t="shared" si="17"/>
        <v>0</v>
      </c>
      <c r="I70" s="584"/>
      <c r="J70" s="584"/>
      <c r="K70" s="584"/>
      <c r="L70" s="584"/>
      <c r="M70" s="583">
        <f t="shared" si="18"/>
        <v>0</v>
      </c>
      <c r="N70" s="584"/>
      <c r="O70" s="584"/>
      <c r="P70" s="584"/>
      <c r="Q70" s="584"/>
      <c r="R70" s="583">
        <f t="shared" si="19"/>
        <v>0</v>
      </c>
      <c r="S70" s="584"/>
      <c r="T70" s="584"/>
      <c r="U70" s="584"/>
      <c r="V70" s="584"/>
      <c r="W70" s="583">
        <f t="shared" si="20"/>
        <v>0</v>
      </c>
      <c r="X70" s="584"/>
      <c r="Y70" s="584"/>
      <c r="Z70" s="584"/>
      <c r="AA70" s="584"/>
      <c r="AB70" s="583">
        <f t="shared" si="21"/>
        <v>0</v>
      </c>
      <c r="AC70" s="584"/>
      <c r="AD70" s="584"/>
      <c r="AE70" s="584"/>
      <c r="AF70" s="584"/>
    </row>
    <row r="71" spans="1:32" s="342" customFormat="1">
      <c r="A71" s="244" t="s">
        <v>409</v>
      </c>
      <c r="B71" s="351" t="s">
        <v>499</v>
      </c>
      <c r="C71" s="583">
        <f t="shared" si="16"/>
        <v>0</v>
      </c>
      <c r="D71" s="584"/>
      <c r="E71" s="584"/>
      <c r="F71" s="584"/>
      <c r="G71" s="584"/>
      <c r="H71" s="583">
        <f t="shared" si="17"/>
        <v>0</v>
      </c>
      <c r="I71" s="584"/>
      <c r="J71" s="584"/>
      <c r="K71" s="584"/>
      <c r="L71" s="584"/>
      <c r="M71" s="583">
        <f t="shared" si="18"/>
        <v>0</v>
      </c>
      <c r="N71" s="584"/>
      <c r="O71" s="584"/>
      <c r="P71" s="584"/>
      <c r="Q71" s="584"/>
      <c r="R71" s="583">
        <f t="shared" si="19"/>
        <v>0</v>
      </c>
      <c r="S71" s="584"/>
      <c r="T71" s="584"/>
      <c r="U71" s="584"/>
      <c r="V71" s="584"/>
      <c r="W71" s="583">
        <f t="shared" si="20"/>
        <v>0</v>
      </c>
      <c r="X71" s="584"/>
      <c r="Y71" s="584"/>
      <c r="Z71" s="584"/>
      <c r="AA71" s="584"/>
      <c r="AB71" s="583">
        <f t="shared" si="21"/>
        <v>0</v>
      </c>
      <c r="AC71" s="584"/>
      <c r="AD71" s="584"/>
      <c r="AE71" s="584"/>
      <c r="AF71" s="584"/>
    </row>
    <row r="72" spans="1:32" s="342" customFormat="1">
      <c r="A72" s="1747"/>
      <c r="B72" s="1747"/>
      <c r="C72" s="585"/>
      <c r="D72" s="585"/>
      <c r="E72" s="585"/>
      <c r="F72" s="585"/>
      <c r="G72" s="585"/>
      <c r="H72" s="585"/>
      <c r="I72" s="585"/>
      <c r="J72" s="585"/>
      <c r="K72" s="585"/>
      <c r="L72" s="585"/>
      <c r="M72" s="1075"/>
      <c r="N72" s="1075"/>
      <c r="O72" s="1075"/>
      <c r="P72" s="1075"/>
      <c r="Q72" s="1075"/>
      <c r="R72" s="585"/>
      <c r="S72" s="585"/>
      <c r="T72" s="585"/>
      <c r="U72" s="585"/>
      <c r="V72" s="585"/>
      <c r="W72" s="1075"/>
      <c r="X72" s="1075"/>
      <c r="Y72" s="1075"/>
      <c r="Z72" s="1075"/>
      <c r="AA72" s="1075"/>
      <c r="AB72" s="1279"/>
      <c r="AC72" s="1279"/>
      <c r="AD72" s="1279"/>
      <c r="AE72" s="1279"/>
      <c r="AF72" s="1279"/>
    </row>
    <row r="73" spans="1:32" s="342" customFormat="1">
      <c r="A73" s="379"/>
      <c r="B73" s="380" t="s">
        <v>501</v>
      </c>
      <c r="C73" s="583">
        <f>D73+E73+F73+G73</f>
        <v>22370.548733974661</v>
      </c>
      <c r="D73" s="583">
        <f>D74+D75</f>
        <v>0</v>
      </c>
      <c r="E73" s="583">
        <f>E74+E75</f>
        <v>0</v>
      </c>
      <c r="F73" s="583">
        <f>F74+F75</f>
        <v>8475.2892007521059</v>
      </c>
      <c r="G73" s="583">
        <f>G74+G75</f>
        <v>13895.259533222554</v>
      </c>
      <c r="H73" s="583">
        <f>I73+J73+K73+L73</f>
        <v>16255.540943022599</v>
      </c>
      <c r="I73" s="583">
        <f>I74+I75</f>
        <v>0</v>
      </c>
      <c r="J73" s="583">
        <f>J74+J75</f>
        <v>0</v>
      </c>
      <c r="K73" s="583">
        <f>K74+K75</f>
        <v>2466.4060094176366</v>
      </c>
      <c r="L73" s="583">
        <f>L74+L75</f>
        <v>13789.134933604962</v>
      </c>
      <c r="M73" s="583">
        <f>N73+O73+P73+Q73</f>
        <v>22654</v>
      </c>
      <c r="N73" s="583">
        <f>N74+N75</f>
        <v>0</v>
      </c>
      <c r="O73" s="583">
        <f>O74+O75</f>
        <v>0</v>
      </c>
      <c r="P73" s="583">
        <f>P74+P75</f>
        <v>8454.4790318983414</v>
      </c>
      <c r="Q73" s="583">
        <f>Q74+Q75</f>
        <v>14199.52096810166</v>
      </c>
      <c r="R73" s="583">
        <f>S73+T73+U73+V73</f>
        <v>22247.448665474349</v>
      </c>
      <c r="S73" s="583">
        <f>S74+S75</f>
        <v>0</v>
      </c>
      <c r="T73" s="583">
        <f>T74+T75</f>
        <v>0</v>
      </c>
      <c r="U73" s="583">
        <f>U74+U75</f>
        <v>8177.7368278370832</v>
      </c>
      <c r="V73" s="583">
        <f>V74+V75</f>
        <v>14069.711837637265</v>
      </c>
      <c r="W73" s="583">
        <f>X73+Y73+Z73+AA73</f>
        <v>23434.999999999996</v>
      </c>
      <c r="X73" s="583">
        <f>X74+X75</f>
        <v>0</v>
      </c>
      <c r="Y73" s="583">
        <f>Y74+Y75</f>
        <v>0</v>
      </c>
      <c r="Z73" s="583">
        <f>Z74+Z75</f>
        <v>8745.9484467439561</v>
      </c>
      <c r="AA73" s="583">
        <f>AA74+AA75</f>
        <v>14689.05155325604</v>
      </c>
      <c r="AB73" s="583">
        <f>AC73+AD73+AE73+AF73</f>
        <v>23295.200000000001</v>
      </c>
      <c r="AC73" s="583">
        <f>AC74+AC75</f>
        <v>0</v>
      </c>
      <c r="AD73" s="583">
        <f>AD74+AD75</f>
        <v>0</v>
      </c>
      <c r="AE73" s="583">
        <f>AE74+AE75</f>
        <v>8243.2760569476632</v>
      </c>
      <c r="AF73" s="583">
        <f>AF74+AF75</f>
        <v>15051.923943052338</v>
      </c>
    </row>
    <row r="74" spans="1:32" s="342" customFormat="1">
      <c r="A74" s="379"/>
      <c r="B74" s="380" t="s">
        <v>498</v>
      </c>
      <c r="C74" s="583">
        <f>D74+E74+F74+G74</f>
        <v>11166.246562075819</v>
      </c>
      <c r="D74" s="583">
        <f>D61+D64+D67+D70</f>
        <v>0</v>
      </c>
      <c r="E74" s="583">
        <f t="shared" ref="E74:G75" si="22">E61+E64+E67+E70</f>
        <v>0</v>
      </c>
      <c r="F74" s="583">
        <f t="shared" si="22"/>
        <v>8475.2892007521059</v>
      </c>
      <c r="G74" s="583">
        <f t="shared" si="22"/>
        <v>2690.9573613237144</v>
      </c>
      <c r="H74" s="583">
        <f>I74+J74+K74+L74</f>
        <v>4932.8120188352732</v>
      </c>
      <c r="I74" s="583">
        <f t="shared" ref="I74:L75" si="23">I61+I64+I67+I70</f>
        <v>0</v>
      </c>
      <c r="J74" s="583">
        <f t="shared" si="23"/>
        <v>0</v>
      </c>
      <c r="K74" s="583">
        <f t="shared" si="23"/>
        <v>2466.4060094176366</v>
      </c>
      <c r="L74" s="583">
        <f t="shared" si="23"/>
        <v>2466.4060094176366</v>
      </c>
      <c r="M74" s="583">
        <f>N74+O74+P74+Q74</f>
        <v>11323.364292895883</v>
      </c>
      <c r="N74" s="583">
        <f t="shared" ref="N74:Q75" si="24">N61+N64+N67+N70</f>
        <v>0</v>
      </c>
      <c r="O74" s="583">
        <f t="shared" si="24"/>
        <v>0</v>
      </c>
      <c r="P74" s="583">
        <f t="shared" si="24"/>
        <v>8454.4790318983414</v>
      </c>
      <c r="Q74" s="583">
        <f t="shared" si="24"/>
        <v>2868.8852609975411</v>
      </c>
      <c r="R74" s="583">
        <f>S74+T74+U74+V74</f>
        <v>10694.328477292413</v>
      </c>
      <c r="S74" s="583">
        <f t="shared" ref="S74:V75" si="25">S61+S64+S67+S70</f>
        <v>0</v>
      </c>
      <c r="T74" s="583">
        <f t="shared" si="25"/>
        <v>0</v>
      </c>
      <c r="U74" s="583">
        <f t="shared" si="25"/>
        <v>8177.7368278370832</v>
      </c>
      <c r="V74" s="583">
        <f t="shared" si="25"/>
        <v>2516.5916494553294</v>
      </c>
      <c r="W74" s="583">
        <f>X74+Y74+Z74+AA74</f>
        <v>11713.738951355828</v>
      </c>
      <c r="X74" s="583">
        <f t="shared" ref="X74:AA75" si="26">X61+X64+X67+X70</f>
        <v>0</v>
      </c>
      <c r="Y74" s="583">
        <f t="shared" si="26"/>
        <v>0</v>
      </c>
      <c r="Z74" s="583">
        <f t="shared" si="26"/>
        <v>8745.9484467439561</v>
      </c>
      <c r="AA74" s="583">
        <f t="shared" si="26"/>
        <v>2967.7905046118726</v>
      </c>
      <c r="AB74" s="583">
        <f>AC74+AD74+AE74+AF74</f>
        <v>10911.749829386914</v>
      </c>
      <c r="AC74" s="583">
        <f t="shared" ref="AC74:AF74" si="27">AC61+AC64+AC67+AC70</f>
        <v>0</v>
      </c>
      <c r="AD74" s="583">
        <f t="shared" si="27"/>
        <v>0</v>
      </c>
      <c r="AE74" s="583">
        <f t="shared" si="27"/>
        <v>8243.2760569476632</v>
      </c>
      <c r="AF74" s="583">
        <f t="shared" si="27"/>
        <v>2668.4737724392517</v>
      </c>
    </row>
    <row r="75" spans="1:32" s="342" customFormat="1">
      <c r="A75" s="379"/>
      <c r="B75" s="380" t="s">
        <v>499</v>
      </c>
      <c r="C75" s="583">
        <f>D75+E75+F75+G75</f>
        <v>11204.302171898838</v>
      </c>
      <c r="D75" s="583">
        <f>D62+D65+D68+D71</f>
        <v>0</v>
      </c>
      <c r="E75" s="583">
        <f t="shared" si="22"/>
        <v>0</v>
      </c>
      <c r="F75" s="583">
        <f t="shared" si="22"/>
        <v>0</v>
      </c>
      <c r="G75" s="583">
        <f t="shared" si="22"/>
        <v>11204.302171898838</v>
      </c>
      <c r="H75" s="583">
        <f>I75+J75+K75+L75</f>
        <v>11322.728924187326</v>
      </c>
      <c r="I75" s="583">
        <f t="shared" si="23"/>
        <v>0</v>
      </c>
      <c r="J75" s="583">
        <f t="shared" si="23"/>
        <v>0</v>
      </c>
      <c r="K75" s="583">
        <f t="shared" si="23"/>
        <v>0</v>
      </c>
      <c r="L75" s="583">
        <f t="shared" si="23"/>
        <v>11322.728924187326</v>
      </c>
      <c r="M75" s="583">
        <f>N75+O75+P75+Q75</f>
        <v>11330.635707104118</v>
      </c>
      <c r="N75" s="583">
        <f t="shared" si="24"/>
        <v>0</v>
      </c>
      <c r="O75" s="583">
        <f t="shared" si="24"/>
        <v>0</v>
      </c>
      <c r="P75" s="583">
        <f t="shared" si="24"/>
        <v>0</v>
      </c>
      <c r="Q75" s="583">
        <f t="shared" si="24"/>
        <v>11330.635707104118</v>
      </c>
      <c r="R75" s="583">
        <f>S75+T75+U75+V75</f>
        <v>11553.120188181936</v>
      </c>
      <c r="S75" s="583">
        <f t="shared" si="25"/>
        <v>0</v>
      </c>
      <c r="T75" s="583">
        <f t="shared" si="25"/>
        <v>0</v>
      </c>
      <c r="U75" s="583">
        <f t="shared" si="25"/>
        <v>0</v>
      </c>
      <c r="V75" s="583">
        <f t="shared" si="25"/>
        <v>11553.120188181936</v>
      </c>
      <c r="W75" s="583">
        <f>X75+Y75+Z75+AA75</f>
        <v>11721.261048644168</v>
      </c>
      <c r="X75" s="583">
        <f t="shared" si="26"/>
        <v>0</v>
      </c>
      <c r="Y75" s="583">
        <f t="shared" si="26"/>
        <v>0</v>
      </c>
      <c r="Z75" s="583">
        <f t="shared" si="26"/>
        <v>0</v>
      </c>
      <c r="AA75" s="583">
        <f t="shared" si="26"/>
        <v>11721.261048644168</v>
      </c>
      <c r="AB75" s="583">
        <f>AC75+AD75+AE75+AF75</f>
        <v>12383.450170613087</v>
      </c>
      <c r="AC75" s="583">
        <f t="shared" ref="AC75:AF75" si="28">AC62+AC65+AC68+AC71</f>
        <v>0</v>
      </c>
      <c r="AD75" s="583">
        <f t="shared" si="28"/>
        <v>0</v>
      </c>
      <c r="AE75" s="583">
        <f t="shared" si="28"/>
        <v>0</v>
      </c>
      <c r="AF75" s="583">
        <f t="shared" si="28"/>
        <v>12383.450170613087</v>
      </c>
    </row>
    <row r="107" spans="22:32">
      <c r="V107" s="1008">
        <v>6</v>
      </c>
      <c r="AA107" s="1008">
        <v>6</v>
      </c>
      <c r="AF107" s="1008">
        <v>6</v>
      </c>
    </row>
  </sheetData>
  <protectedRanges>
    <protectedRange sqref="A41:A42 A44" name="Диапазон1_1_1"/>
    <protectedRange sqref="A51:B53" name="Диапазон1_1_2"/>
    <protectedRange sqref="A60:B62" name="Диапазон1_1_3"/>
  </protectedRanges>
  <mergeCells count="11">
    <mergeCell ref="AB5:AF5"/>
    <mergeCell ref="W5:AA5"/>
    <mergeCell ref="B43:C43"/>
    <mergeCell ref="A54:B54"/>
    <mergeCell ref="A72:B72"/>
    <mergeCell ref="A5:A6"/>
    <mergeCell ref="R5:V5"/>
    <mergeCell ref="C5:G5"/>
    <mergeCell ref="H5:L5"/>
    <mergeCell ref="B5:B6"/>
    <mergeCell ref="M5:Q5"/>
  </mergeCells>
  <phoneticPr fontId="19" type="noConversion"/>
  <printOptions horizontalCentered="1"/>
  <pageMargins left="0.39370078740157483" right="0.27559055118110237" top="0.39370078740157483" bottom="0" header="0" footer="0"/>
  <pageSetup paperSize="9" scale="48" fitToHeight="0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>
    <tabColor indexed="26"/>
    <pageSetUpPr fitToPage="1"/>
  </sheetPr>
  <dimension ref="A1:AZ90"/>
  <sheetViews>
    <sheetView workbookViewId="0"/>
  </sheetViews>
  <sheetFormatPr defaultColWidth="8" defaultRowHeight="12.75"/>
  <cols>
    <col min="1" max="1" width="5.5703125" style="83" customWidth="1"/>
    <col min="2" max="2" width="41.5703125" style="91" customWidth="1"/>
    <col min="3" max="17" width="7.7109375" style="83" customWidth="1"/>
    <col min="18" max="18" width="8.5703125" style="83" customWidth="1"/>
    <col min="19" max="22" width="8" style="83" customWidth="1"/>
    <col min="23" max="23" width="8.5703125" style="83" customWidth="1"/>
    <col min="24" max="27" width="8" style="83" customWidth="1"/>
    <col min="28" max="16384" width="8" style="83"/>
  </cols>
  <sheetData>
    <row r="1" spans="1:32">
      <c r="A1" s="81"/>
      <c r="B1" s="82"/>
      <c r="C1" s="81"/>
      <c r="D1" s="81"/>
      <c r="E1" s="81"/>
      <c r="F1" s="81"/>
      <c r="G1" s="81"/>
      <c r="I1" s="84"/>
      <c r="J1" s="84"/>
      <c r="N1" s="84"/>
      <c r="O1" s="84"/>
    </row>
    <row r="2" spans="1:32">
      <c r="A2" s="81"/>
      <c r="B2" s="82"/>
      <c r="C2" s="81"/>
      <c r="D2" s="81"/>
      <c r="E2" s="81"/>
      <c r="F2" s="81"/>
      <c r="G2" s="81"/>
      <c r="H2" s="85"/>
      <c r="I2" s="84"/>
      <c r="J2" s="84"/>
      <c r="K2" s="84"/>
      <c r="M2" s="85"/>
      <c r="N2" s="84"/>
      <c r="O2" s="84"/>
      <c r="P2" s="84"/>
    </row>
    <row r="3" spans="1:32" ht="16.5" customHeight="1">
      <c r="A3" s="180"/>
      <c r="B3" s="181" t="s">
        <v>587</v>
      </c>
      <c r="C3" s="182"/>
      <c r="D3" s="182"/>
      <c r="E3" s="182"/>
      <c r="F3" s="182"/>
      <c r="G3" s="181"/>
      <c r="H3" s="182"/>
      <c r="K3" s="182"/>
      <c r="L3" s="182"/>
      <c r="M3" s="182"/>
      <c r="P3" s="182"/>
      <c r="Q3" s="182"/>
      <c r="R3" s="182"/>
      <c r="S3" s="182"/>
      <c r="T3" s="182"/>
      <c r="U3" s="182"/>
      <c r="W3" s="182"/>
      <c r="X3" s="182"/>
      <c r="Y3" s="182"/>
      <c r="Z3" s="182"/>
      <c r="AB3" s="85" t="s">
        <v>5</v>
      </c>
    </row>
    <row r="4" spans="1:32" ht="13.5" thickBot="1">
      <c r="A4" s="86" t="s">
        <v>296</v>
      </c>
      <c r="B4" s="87"/>
      <c r="C4" s="152" t="str">
        <f>IF(ROUND(C12+C13-C17-C19,2)=0,"","Не сходится поступление и отпуск")</f>
        <v/>
      </c>
      <c r="D4" s="86"/>
      <c r="E4" s="86"/>
      <c r="F4" s="86"/>
      <c r="G4" s="86"/>
      <c r="H4" s="152" t="str">
        <f>IF(H12+H13-H17-H19=0,"","Не сходится поступление и отпуск")</f>
        <v/>
      </c>
      <c r="I4" s="84"/>
      <c r="J4" s="84"/>
      <c r="M4" s="152" t="str">
        <f>IF(M12+M13-M17-M19=0,"","Не сходится поступление и отпуск")</f>
        <v/>
      </c>
      <c r="N4" s="84"/>
      <c r="O4" s="84"/>
      <c r="R4" s="152" t="str">
        <f>IF(ROUND(R12+R13-R17-R19,2)=0,"","Не сходится поступление и отпуск")</f>
        <v/>
      </c>
      <c r="W4" s="152" t="str">
        <f>IF(ROUND(W12+W13-W17-W19,2)=0,"","Не сходится поступление и отпуск")</f>
        <v/>
      </c>
      <c r="AB4" s="88" t="s">
        <v>3</v>
      </c>
    </row>
    <row r="5" spans="1:32" ht="12.75" customHeight="1">
      <c r="A5" s="1748" t="s">
        <v>297</v>
      </c>
      <c r="B5" s="1750" t="s">
        <v>269</v>
      </c>
      <c r="C5" s="1739" t="s">
        <v>899</v>
      </c>
      <c r="D5" s="1742"/>
      <c r="E5" s="1742"/>
      <c r="F5" s="1742"/>
      <c r="G5" s="1743"/>
      <c r="H5" s="1739" t="s">
        <v>900</v>
      </c>
      <c r="I5" s="1742"/>
      <c r="J5" s="1742"/>
      <c r="K5" s="1742"/>
      <c r="L5" s="1743"/>
      <c r="M5" s="1739" t="s">
        <v>900</v>
      </c>
      <c r="N5" s="1742"/>
      <c r="O5" s="1742"/>
      <c r="P5" s="1742"/>
      <c r="Q5" s="1743"/>
      <c r="R5" s="1739" t="s">
        <v>923</v>
      </c>
      <c r="S5" s="1742"/>
      <c r="T5" s="1742"/>
      <c r="U5" s="1742"/>
      <c r="V5" s="1743"/>
      <c r="W5" s="1739" t="s">
        <v>1324</v>
      </c>
      <c r="X5" s="1742"/>
      <c r="Y5" s="1742"/>
      <c r="Z5" s="1742"/>
      <c r="AA5" s="1743"/>
      <c r="AB5" s="1739" t="s">
        <v>1324</v>
      </c>
      <c r="AC5" s="1742"/>
      <c r="AD5" s="1742"/>
      <c r="AE5" s="1742"/>
      <c r="AF5" s="1743"/>
    </row>
    <row r="6" spans="1:32" ht="13.5" thickBot="1">
      <c r="A6" s="1749"/>
      <c r="B6" s="1751"/>
      <c r="C6" s="128" t="s">
        <v>400</v>
      </c>
      <c r="D6" s="129" t="s">
        <v>384</v>
      </c>
      <c r="E6" s="129" t="s">
        <v>394</v>
      </c>
      <c r="F6" s="129" t="s">
        <v>395</v>
      </c>
      <c r="G6" s="130" t="s">
        <v>401</v>
      </c>
      <c r="H6" s="128" t="s">
        <v>400</v>
      </c>
      <c r="I6" s="129" t="s">
        <v>384</v>
      </c>
      <c r="J6" s="129" t="s">
        <v>394</v>
      </c>
      <c r="K6" s="129" t="s">
        <v>395</v>
      </c>
      <c r="L6" s="130" t="s">
        <v>401</v>
      </c>
      <c r="M6" s="128" t="s">
        <v>400</v>
      </c>
      <c r="N6" s="129" t="s">
        <v>384</v>
      </c>
      <c r="O6" s="129" t="s">
        <v>394</v>
      </c>
      <c r="P6" s="129" t="s">
        <v>395</v>
      </c>
      <c r="Q6" s="130" t="s">
        <v>401</v>
      </c>
      <c r="R6" s="128" t="s">
        <v>400</v>
      </c>
      <c r="S6" s="129" t="s">
        <v>384</v>
      </c>
      <c r="T6" s="129" t="s">
        <v>394</v>
      </c>
      <c r="U6" s="129" t="s">
        <v>395</v>
      </c>
      <c r="V6" s="130" t="s">
        <v>401</v>
      </c>
      <c r="W6" s="128" t="s">
        <v>400</v>
      </c>
      <c r="X6" s="129" t="s">
        <v>384</v>
      </c>
      <c r="Y6" s="129" t="s">
        <v>394</v>
      </c>
      <c r="Z6" s="129" t="s">
        <v>395</v>
      </c>
      <c r="AA6" s="130" t="s">
        <v>401</v>
      </c>
      <c r="AB6" s="128" t="s">
        <v>400</v>
      </c>
      <c r="AC6" s="129" t="s">
        <v>384</v>
      </c>
      <c r="AD6" s="129" t="s">
        <v>394</v>
      </c>
      <c r="AE6" s="129" t="s">
        <v>395</v>
      </c>
      <c r="AF6" s="130" t="s">
        <v>401</v>
      </c>
    </row>
    <row r="7" spans="1:32" ht="15.75" thickBot="1">
      <c r="A7" s="136" t="s">
        <v>250</v>
      </c>
      <c r="B7" s="137" t="s">
        <v>456</v>
      </c>
      <c r="C7" s="598"/>
      <c r="D7" s="581">
        <f>D19+D17+E9+F9+G9</f>
        <v>0</v>
      </c>
      <c r="E7" s="581">
        <f>E19+E17+F10+G10</f>
        <v>0</v>
      </c>
      <c r="F7" s="636">
        <f>F19+F17+G11</f>
        <v>5.2193126022913248</v>
      </c>
      <c r="G7" s="637">
        <f>G19+G17</f>
        <v>3.2375030914711762</v>
      </c>
      <c r="H7" s="598"/>
      <c r="I7" s="581">
        <f>I19+I17+J9+K9+L9</f>
        <v>0</v>
      </c>
      <c r="J7" s="581">
        <f>J19+J17+K10+L10</f>
        <v>0</v>
      </c>
      <c r="K7" s="581">
        <f>K19+K17+L11</f>
        <v>4.938545454545455</v>
      </c>
      <c r="L7" s="599">
        <f>L19+L17</f>
        <v>3.2215123553846956</v>
      </c>
      <c r="M7" s="598"/>
      <c r="N7" s="581">
        <f>N19+N17+O9+P9+Q9</f>
        <v>0</v>
      </c>
      <c r="O7" s="581">
        <f>O19+O17+P10+Q10</f>
        <v>0</v>
      </c>
      <c r="P7" s="581">
        <f>P19+P17+Q11</f>
        <v>5.2959999999999994</v>
      </c>
      <c r="Q7" s="599">
        <f>Q19+Q17</f>
        <v>3.3083475196138035</v>
      </c>
      <c r="R7" s="598"/>
      <c r="S7" s="581">
        <f>S19+S17+T9+U9+V9</f>
        <v>6.4799655330460837E-7</v>
      </c>
      <c r="T7" s="581">
        <f>T19+T17+U10+V10</f>
        <v>6.4799655330460837E-7</v>
      </c>
      <c r="U7" s="581">
        <f>U19+U17+V11</f>
        <v>5.2194551934510987</v>
      </c>
      <c r="V7" s="599">
        <f>V19+V17</f>
        <v>3.2380866570735551</v>
      </c>
      <c r="W7" s="598"/>
      <c r="X7" s="581">
        <f>X19+X17+Y9+Z9+AA9</f>
        <v>0</v>
      </c>
      <c r="Y7" s="581">
        <f>Y19+Y17+Z10+AA10</f>
        <v>0</v>
      </c>
      <c r="Z7" s="581">
        <f>Z19+Z17+AA11</f>
        <v>5.3029090909090897</v>
      </c>
      <c r="AA7" s="599">
        <f>AA19+AA17</f>
        <v>3.3215874779370393</v>
      </c>
      <c r="AB7" s="598"/>
      <c r="AC7" s="581">
        <f>AC19+AC17+AD9+AE9+AF9</f>
        <v>0</v>
      </c>
      <c r="AD7" s="581">
        <f>AD19+AD17+AE10+AF10</f>
        <v>0</v>
      </c>
      <c r="AE7" s="581">
        <f>AE19+AE17+AF11</f>
        <v>5.2712727272727271</v>
      </c>
      <c r="AF7" s="599">
        <f>AF19+AF17</f>
        <v>3.4081840223034634</v>
      </c>
    </row>
    <row r="8" spans="1:32" ht="26.25">
      <c r="A8" s="131" t="s">
        <v>403</v>
      </c>
      <c r="B8" s="132" t="s">
        <v>411</v>
      </c>
      <c r="C8" s="600"/>
      <c r="D8" s="601" t="s">
        <v>249</v>
      </c>
      <c r="E8" s="602">
        <f>E7-E12-E13</f>
        <v>0</v>
      </c>
      <c r="F8" s="602">
        <f>F7-F12-F13</f>
        <v>0</v>
      </c>
      <c r="G8" s="603">
        <f>G7-G12-G13</f>
        <v>3.2375030914711762</v>
      </c>
      <c r="H8" s="600"/>
      <c r="I8" s="601" t="s">
        <v>249</v>
      </c>
      <c r="J8" s="602">
        <f>J7-J12-J13</f>
        <v>0</v>
      </c>
      <c r="K8" s="602">
        <f>K7-K12-K13</f>
        <v>0</v>
      </c>
      <c r="L8" s="603">
        <f>L7-L12-L13</f>
        <v>3.2215123553846956</v>
      </c>
      <c r="M8" s="600"/>
      <c r="N8" s="601" t="s">
        <v>249</v>
      </c>
      <c r="O8" s="602">
        <f>O7-O12-O13</f>
        <v>0</v>
      </c>
      <c r="P8" s="602">
        <f>P7-P12-P13</f>
        <v>0</v>
      </c>
      <c r="Q8" s="603">
        <f>Q7-Q12-Q13</f>
        <v>3.3083475196138035</v>
      </c>
      <c r="R8" s="600"/>
      <c r="S8" s="601" t="s">
        <v>249</v>
      </c>
      <c r="T8" s="602">
        <f>T7-T12-T13</f>
        <v>6.4799655330460837E-7</v>
      </c>
      <c r="U8" s="602">
        <f>U7-U12-U13</f>
        <v>6.4799655330460837E-7</v>
      </c>
      <c r="V8" s="603">
        <f>V7-V12-V13</f>
        <v>3.2380866570735551</v>
      </c>
      <c r="W8" s="600"/>
      <c r="X8" s="601" t="s">
        <v>249</v>
      </c>
      <c r="Y8" s="602">
        <f>Y7-Y12-Y13</f>
        <v>0</v>
      </c>
      <c r="Z8" s="602">
        <f>Z7-Z12-Z13</f>
        <v>0</v>
      </c>
      <c r="AA8" s="603">
        <f>AA7-AA12-AA13</f>
        <v>3.3215874779370393</v>
      </c>
      <c r="AB8" s="600"/>
      <c r="AC8" s="601" t="s">
        <v>249</v>
      </c>
      <c r="AD8" s="602">
        <f>AD7-AD12-AD13</f>
        <v>0</v>
      </c>
      <c r="AE8" s="602">
        <f>AE7-AE12-AE13</f>
        <v>0</v>
      </c>
      <c r="AF8" s="603">
        <f>AF7-AF12-AF13</f>
        <v>3.4081840223034634</v>
      </c>
    </row>
    <row r="9" spans="1:32" ht="15">
      <c r="A9" s="92"/>
      <c r="B9" s="97" t="s">
        <v>384</v>
      </c>
      <c r="C9" s="604"/>
      <c r="D9" s="605" t="s">
        <v>249</v>
      </c>
      <c r="E9" s="606">
        <f>E8</f>
        <v>0</v>
      </c>
      <c r="F9" s="607"/>
      <c r="G9" s="608"/>
      <c r="H9" s="604"/>
      <c r="I9" s="605" t="s">
        <v>249</v>
      </c>
      <c r="J9" s="606">
        <f>J8</f>
        <v>0</v>
      </c>
      <c r="K9" s="607"/>
      <c r="L9" s="608"/>
      <c r="M9" s="604"/>
      <c r="N9" s="605" t="s">
        <v>249</v>
      </c>
      <c r="O9" s="606">
        <f>O8</f>
        <v>0</v>
      </c>
      <c r="P9" s="607"/>
      <c r="Q9" s="608"/>
      <c r="R9" s="604"/>
      <c r="S9" s="605" t="s">
        <v>249</v>
      </c>
      <c r="T9" s="606">
        <f>T8</f>
        <v>6.4799655330460837E-7</v>
      </c>
      <c r="U9" s="609"/>
      <c r="V9" s="608"/>
      <c r="W9" s="604"/>
      <c r="X9" s="605" t="s">
        <v>249</v>
      </c>
      <c r="Y9" s="606">
        <f>Y8</f>
        <v>0</v>
      </c>
      <c r="Z9" s="609"/>
      <c r="AA9" s="608"/>
      <c r="AB9" s="604"/>
      <c r="AC9" s="605" t="s">
        <v>249</v>
      </c>
      <c r="AD9" s="606">
        <f>AD8</f>
        <v>0</v>
      </c>
      <c r="AE9" s="609"/>
      <c r="AF9" s="608"/>
    </row>
    <row r="10" spans="1:32" ht="15">
      <c r="A10" s="92"/>
      <c r="B10" s="97" t="s">
        <v>394</v>
      </c>
      <c r="C10" s="604"/>
      <c r="D10" s="605" t="s">
        <v>249</v>
      </c>
      <c r="E10" s="605" t="s">
        <v>249</v>
      </c>
      <c r="F10" s="606">
        <f>F8-F9</f>
        <v>0</v>
      </c>
      <c r="G10" s="608"/>
      <c r="H10" s="604"/>
      <c r="I10" s="605" t="s">
        <v>249</v>
      </c>
      <c r="J10" s="605" t="s">
        <v>249</v>
      </c>
      <c r="K10" s="606">
        <f>K8-K9</f>
        <v>0</v>
      </c>
      <c r="L10" s="608"/>
      <c r="M10" s="604"/>
      <c r="N10" s="605" t="s">
        <v>249</v>
      </c>
      <c r="O10" s="605" t="s">
        <v>249</v>
      </c>
      <c r="P10" s="606">
        <f>P8-P9</f>
        <v>0</v>
      </c>
      <c r="Q10" s="608"/>
      <c r="R10" s="604"/>
      <c r="S10" s="605" t="s">
        <v>249</v>
      </c>
      <c r="T10" s="605" t="s">
        <v>249</v>
      </c>
      <c r="U10" s="606">
        <f>U8-U9</f>
        <v>6.4799655330460837E-7</v>
      </c>
      <c r="V10" s="608"/>
      <c r="W10" s="604"/>
      <c r="X10" s="605" t="s">
        <v>249</v>
      </c>
      <c r="Y10" s="605" t="s">
        <v>249</v>
      </c>
      <c r="Z10" s="606">
        <f>Z8-Z9</f>
        <v>0</v>
      </c>
      <c r="AA10" s="608"/>
      <c r="AB10" s="604"/>
      <c r="AC10" s="605" t="s">
        <v>249</v>
      </c>
      <c r="AD10" s="605" t="s">
        <v>249</v>
      </c>
      <c r="AE10" s="606">
        <f>AE8-AE9</f>
        <v>0</v>
      </c>
      <c r="AF10" s="608"/>
    </row>
    <row r="11" spans="1:32" ht="15.75" thickBot="1">
      <c r="A11" s="135"/>
      <c r="B11" s="99" t="s">
        <v>395</v>
      </c>
      <c r="C11" s="610"/>
      <c r="D11" s="611" t="s">
        <v>249</v>
      </c>
      <c r="E11" s="611" t="s">
        <v>249</v>
      </c>
      <c r="F11" s="611" t="s">
        <v>249</v>
      </c>
      <c r="G11" s="612">
        <f>G8-G9-G10</f>
        <v>3.2375030914711762</v>
      </c>
      <c r="H11" s="610"/>
      <c r="I11" s="611" t="s">
        <v>249</v>
      </c>
      <c r="J11" s="611" t="s">
        <v>249</v>
      </c>
      <c r="K11" s="611" t="s">
        <v>249</v>
      </c>
      <c r="L11" s="612">
        <f>L8-L9-L10</f>
        <v>3.2215123553846956</v>
      </c>
      <c r="M11" s="610"/>
      <c r="N11" s="611" t="s">
        <v>249</v>
      </c>
      <c r="O11" s="611" t="s">
        <v>249</v>
      </c>
      <c r="P11" s="611" t="s">
        <v>249</v>
      </c>
      <c r="Q11" s="612">
        <f>Q8-Q9-Q10</f>
        <v>3.3083475196138035</v>
      </c>
      <c r="R11" s="610"/>
      <c r="S11" s="611" t="s">
        <v>249</v>
      </c>
      <c r="T11" s="611" t="s">
        <v>249</v>
      </c>
      <c r="U11" s="611" t="s">
        <v>249</v>
      </c>
      <c r="V11" s="612">
        <f>V8-V9-V10</f>
        <v>3.2380866570735551</v>
      </c>
      <c r="W11" s="610"/>
      <c r="X11" s="611" t="s">
        <v>249</v>
      </c>
      <c r="Y11" s="611" t="s">
        <v>249</v>
      </c>
      <c r="Z11" s="611" t="s">
        <v>249</v>
      </c>
      <c r="AA11" s="612">
        <f>AA8-AA9-AA10</f>
        <v>3.3215874779370393</v>
      </c>
      <c r="AB11" s="610"/>
      <c r="AC11" s="611" t="s">
        <v>249</v>
      </c>
      <c r="AD11" s="611" t="s">
        <v>249</v>
      </c>
      <c r="AE11" s="611" t="s">
        <v>249</v>
      </c>
      <c r="AF11" s="612">
        <f>AF8-AF9-AF10</f>
        <v>3.4081840223034634</v>
      </c>
    </row>
    <row r="12" spans="1:32" ht="15">
      <c r="A12" s="131" t="s">
        <v>404</v>
      </c>
      <c r="B12" s="132" t="s">
        <v>412</v>
      </c>
      <c r="C12" s="613">
        <f t="shared" ref="C12:C17" si="0">D12+E12+F12+G12</f>
        <v>0</v>
      </c>
      <c r="D12" s="614"/>
      <c r="E12" s="614"/>
      <c r="F12" s="614"/>
      <c r="G12" s="615"/>
      <c r="H12" s="613">
        <f t="shared" ref="H12:H17" si="1">I12+J12+K12+L12</f>
        <v>0</v>
      </c>
      <c r="I12" s="614"/>
      <c r="J12" s="614"/>
      <c r="K12" s="614"/>
      <c r="L12" s="615"/>
      <c r="M12" s="613">
        <f t="shared" ref="M12:M17" si="2">N12+O12+P12+Q12</f>
        <v>0</v>
      </c>
      <c r="N12" s="614"/>
      <c r="O12" s="614"/>
      <c r="P12" s="614"/>
      <c r="Q12" s="615"/>
      <c r="R12" s="613">
        <f t="shared" ref="R12:R17" si="3">S12+T12+U12+V12</f>
        <v>0</v>
      </c>
      <c r="S12" s="614"/>
      <c r="T12" s="614"/>
      <c r="U12" s="614"/>
      <c r="V12" s="615"/>
      <c r="W12" s="613">
        <f t="shared" ref="W12:W17" si="4">X12+Y12+Z12+AA12</f>
        <v>0</v>
      </c>
      <c r="X12" s="614"/>
      <c r="Y12" s="614"/>
      <c r="Z12" s="614"/>
      <c r="AA12" s="615"/>
      <c r="AB12" s="613">
        <f t="shared" ref="AB12:AB17" si="5">AC12+AD12+AE12+AF12</f>
        <v>0</v>
      </c>
      <c r="AC12" s="614"/>
      <c r="AD12" s="614"/>
      <c r="AE12" s="614"/>
      <c r="AF12" s="615"/>
    </row>
    <row r="13" spans="1:32" ht="15">
      <c r="A13" s="92" t="s">
        <v>405</v>
      </c>
      <c r="B13" s="97" t="s">
        <v>489</v>
      </c>
      <c r="C13" s="638">
        <f>D13+E13+F13+G13</f>
        <v>5.2193126022913265</v>
      </c>
      <c r="D13" s="617">
        <f>D14+D15+D16</f>
        <v>0</v>
      </c>
      <c r="E13" s="617">
        <f>E14+E15+E16</f>
        <v>0</v>
      </c>
      <c r="F13" s="632">
        <f>F14+F15+F16</f>
        <v>5.2193126022913265</v>
      </c>
      <c r="G13" s="633">
        <f>G14+G15+G16</f>
        <v>0</v>
      </c>
      <c r="H13" s="616">
        <f t="shared" si="1"/>
        <v>4.938545454545455</v>
      </c>
      <c r="I13" s="617">
        <f>I14+I15+I16</f>
        <v>0</v>
      </c>
      <c r="J13" s="617">
        <f>J14+J15+J16</f>
        <v>0</v>
      </c>
      <c r="K13" s="617">
        <f>K14+K15+K16</f>
        <v>4.938545454545455</v>
      </c>
      <c r="L13" s="618">
        <f>L14+L15+L16</f>
        <v>0</v>
      </c>
      <c r="M13" s="616">
        <f t="shared" si="2"/>
        <v>5.2960000000000003</v>
      </c>
      <c r="N13" s="617">
        <f>N14+N15+N16</f>
        <v>0</v>
      </c>
      <c r="O13" s="617">
        <f>O14+O15+O16</f>
        <v>0</v>
      </c>
      <c r="P13" s="617">
        <f>P14+P15+P16</f>
        <v>5.2960000000000003</v>
      </c>
      <c r="Q13" s="618">
        <f>Q14+Q15+Q16</f>
        <v>0</v>
      </c>
      <c r="R13" s="616">
        <f t="shared" si="3"/>
        <v>5.2194545454545453</v>
      </c>
      <c r="S13" s="617">
        <f>S14+S15+S16</f>
        <v>0</v>
      </c>
      <c r="T13" s="617">
        <f>T14+T15+T16</f>
        <v>0</v>
      </c>
      <c r="U13" s="617">
        <f>U14+U15+U16</f>
        <v>5.2194545454545453</v>
      </c>
      <c r="V13" s="618">
        <f>V14+V15+V16</f>
        <v>0</v>
      </c>
      <c r="W13" s="616">
        <f t="shared" si="4"/>
        <v>5.3029090909090915</v>
      </c>
      <c r="X13" s="617">
        <f>X14+X15+X16</f>
        <v>0</v>
      </c>
      <c r="Y13" s="617">
        <f>Y14+Y15+Y16</f>
        <v>0</v>
      </c>
      <c r="Z13" s="617">
        <f>Z14+Z15+Z16</f>
        <v>5.3029090909090915</v>
      </c>
      <c r="AA13" s="618">
        <f>AA14+AA15+AA16</f>
        <v>0</v>
      </c>
      <c r="AB13" s="616">
        <f t="shared" si="5"/>
        <v>5.2712727272727271</v>
      </c>
      <c r="AC13" s="617">
        <f>AC14+AC15+AC16</f>
        <v>0</v>
      </c>
      <c r="AD13" s="617">
        <f>AD14+AD15+AD16</f>
        <v>0</v>
      </c>
      <c r="AE13" s="617">
        <f>AE14+AE15+AE16</f>
        <v>5.2712727272727271</v>
      </c>
      <c r="AF13" s="618">
        <f>AF14+AF15+AF16</f>
        <v>0</v>
      </c>
    </row>
    <row r="14" spans="1:32" ht="15">
      <c r="A14" s="92" t="s">
        <v>448</v>
      </c>
      <c r="B14" s="169" t="s">
        <v>491</v>
      </c>
      <c r="C14" s="616">
        <f t="shared" si="0"/>
        <v>0</v>
      </c>
      <c r="D14" s="609"/>
      <c r="E14" s="609"/>
      <c r="F14" s="609"/>
      <c r="G14" s="608"/>
      <c r="H14" s="616">
        <f t="shared" si="1"/>
        <v>0</v>
      </c>
      <c r="I14" s="609"/>
      <c r="J14" s="609"/>
      <c r="K14" s="609"/>
      <c r="L14" s="608"/>
      <c r="M14" s="616">
        <f t="shared" si="2"/>
        <v>0</v>
      </c>
      <c r="N14" s="609"/>
      <c r="O14" s="609"/>
      <c r="P14" s="609"/>
      <c r="Q14" s="608"/>
      <c r="R14" s="616">
        <f t="shared" si="3"/>
        <v>0</v>
      </c>
      <c r="S14" s="609"/>
      <c r="T14" s="609"/>
      <c r="U14" s="609"/>
      <c r="V14" s="608"/>
      <c r="W14" s="616">
        <f t="shared" si="4"/>
        <v>0</v>
      </c>
      <c r="X14" s="609"/>
      <c r="Y14" s="609"/>
      <c r="Z14" s="609"/>
      <c r="AA14" s="608"/>
      <c r="AB14" s="616">
        <f t="shared" si="5"/>
        <v>0</v>
      </c>
      <c r="AC14" s="609"/>
      <c r="AD14" s="609"/>
      <c r="AE14" s="609"/>
      <c r="AF14" s="608"/>
    </row>
    <row r="15" spans="1:32" ht="26.25">
      <c r="A15" s="92" t="s">
        <v>449</v>
      </c>
      <c r="B15" s="169" t="s">
        <v>490</v>
      </c>
      <c r="C15" s="638">
        <f t="shared" si="0"/>
        <v>4.1694853609747229</v>
      </c>
      <c r="D15" s="609"/>
      <c r="E15" s="609"/>
      <c r="F15" s="634">
        <v>4.1694853609747229</v>
      </c>
      <c r="G15" s="625"/>
      <c r="H15" s="616">
        <f t="shared" si="1"/>
        <v>4.099636363636364</v>
      </c>
      <c r="I15" s="609"/>
      <c r="J15" s="609"/>
      <c r="K15" s="857">
        <v>4.099636363636364</v>
      </c>
      <c r="L15" s="625"/>
      <c r="M15" s="616">
        <f t="shared" si="2"/>
        <v>4.306909090909091</v>
      </c>
      <c r="N15" s="609"/>
      <c r="O15" s="609"/>
      <c r="P15" s="634">
        <f>'1.4'!P15/5500</f>
        <v>4.306909090909091</v>
      </c>
      <c r="Q15" s="634"/>
      <c r="R15" s="616">
        <f t="shared" si="3"/>
        <v>4.1696363636363634</v>
      </c>
      <c r="S15" s="609"/>
      <c r="T15" s="609"/>
      <c r="U15" s="634">
        <f>'1.4'!U15/5500</f>
        <v>4.1696363636363634</v>
      </c>
      <c r="V15" s="634"/>
      <c r="W15" s="616">
        <f t="shared" si="4"/>
        <v>4.3129090909090912</v>
      </c>
      <c r="X15" s="609"/>
      <c r="Y15" s="609"/>
      <c r="Z15" s="634">
        <f>'1.4'!Z15/5500</f>
        <v>4.3129090909090912</v>
      </c>
      <c r="AA15" s="634"/>
      <c r="AB15" s="616">
        <f t="shared" si="5"/>
        <v>4.3477636363636361</v>
      </c>
      <c r="AC15" s="609"/>
      <c r="AD15" s="609"/>
      <c r="AE15" s="634">
        <f>'1.4'!AE15/5500</f>
        <v>4.3477636363636361</v>
      </c>
      <c r="AF15" s="634"/>
    </row>
    <row r="16" spans="1:32" ht="15.75" thickBot="1">
      <c r="A16" s="135" t="s">
        <v>450</v>
      </c>
      <c r="B16" s="170" t="s">
        <v>492</v>
      </c>
      <c r="C16" s="640">
        <f t="shared" si="0"/>
        <v>1.0498272413166032</v>
      </c>
      <c r="D16" s="620"/>
      <c r="E16" s="620"/>
      <c r="F16" s="626">
        <v>1.0498272413166032</v>
      </c>
      <c r="G16" s="627"/>
      <c r="H16" s="619">
        <f t="shared" si="1"/>
        <v>0.83890909090909094</v>
      </c>
      <c r="I16" s="620"/>
      <c r="J16" s="620"/>
      <c r="K16" s="626">
        <v>0.83890909090909094</v>
      </c>
      <c r="L16" s="627"/>
      <c r="M16" s="619">
        <f t="shared" si="2"/>
        <v>0.98909090909090913</v>
      </c>
      <c r="N16" s="620"/>
      <c r="O16" s="620"/>
      <c r="P16" s="626">
        <f>'1.4'!P16/5500</f>
        <v>0.98909090909090913</v>
      </c>
      <c r="Q16" s="626"/>
      <c r="R16" s="619">
        <f t="shared" si="3"/>
        <v>1.0498181818181818</v>
      </c>
      <c r="S16" s="620"/>
      <c r="T16" s="620"/>
      <c r="U16" s="626">
        <f>'1.4'!U16/5500</f>
        <v>1.0498181818181818</v>
      </c>
      <c r="V16" s="626"/>
      <c r="W16" s="619">
        <f t="shared" si="4"/>
        <v>0.99</v>
      </c>
      <c r="X16" s="620"/>
      <c r="Y16" s="620"/>
      <c r="Z16" s="626">
        <f>'1.4'!Z16/5500</f>
        <v>0.99</v>
      </c>
      <c r="AA16" s="626"/>
      <c r="AB16" s="619">
        <f t="shared" si="5"/>
        <v>0.92350909090909072</v>
      </c>
      <c r="AC16" s="620"/>
      <c r="AD16" s="620"/>
      <c r="AE16" s="626">
        <f>'1.4'!AE16/5500</f>
        <v>0.92350909090909072</v>
      </c>
      <c r="AF16" s="626"/>
    </row>
    <row r="17" spans="1:32" ht="15">
      <c r="A17" s="131" t="s">
        <v>246</v>
      </c>
      <c r="B17" s="132" t="s">
        <v>457</v>
      </c>
      <c r="C17" s="639">
        <f t="shared" si="0"/>
        <v>1.151119112565921</v>
      </c>
      <c r="D17" s="614"/>
      <c r="E17" s="614"/>
      <c r="F17" s="628">
        <v>0.44062020367339516</v>
      </c>
      <c r="G17" s="629">
        <v>0.71049890889252587</v>
      </c>
      <c r="H17" s="613">
        <f t="shared" si="1"/>
        <v>0.82818181818181824</v>
      </c>
      <c r="I17" s="614"/>
      <c r="J17" s="614"/>
      <c r="K17" s="628">
        <v>0.28794219006984978</v>
      </c>
      <c r="L17" s="858">
        <v>0.54023962811196846</v>
      </c>
      <c r="M17" s="613">
        <f t="shared" si="2"/>
        <v>1.177090909090909</v>
      </c>
      <c r="N17" s="1502"/>
      <c r="O17" s="1502"/>
      <c r="P17" s="1503">
        <f>'1.4'!P17/5500</f>
        <v>0.4505615712952874</v>
      </c>
      <c r="Q17" s="1503">
        <f>'1.4'!Q17/5500</f>
        <v>0.72652933779562157</v>
      </c>
      <c r="R17" s="1504">
        <f t="shared" si="3"/>
        <v>1.0254551934510987</v>
      </c>
      <c r="S17" s="1502"/>
      <c r="T17" s="1502"/>
      <c r="U17" s="1503">
        <f>'1.4'!U17/5500</f>
        <v>0.39251913313227055</v>
      </c>
      <c r="V17" s="1503">
        <f>'1.4'!V17/5500</f>
        <v>0.6329360603188281</v>
      </c>
      <c r="W17" s="1504">
        <f t="shared" si="4"/>
        <v>1.0420000000000003</v>
      </c>
      <c r="X17" s="1502"/>
      <c r="Y17" s="1502"/>
      <c r="Z17" s="1503">
        <f>'1.4'!Z17/5500</f>
        <v>0.38932161297205048</v>
      </c>
      <c r="AA17" s="1503">
        <f>'1.4'!AA17/5500</f>
        <v>0.65267838702794967</v>
      </c>
      <c r="AB17" s="1504">
        <f t="shared" si="5"/>
        <v>1.0357818181818181</v>
      </c>
      <c r="AC17" s="1502"/>
      <c r="AD17" s="1502"/>
      <c r="AE17" s="1503">
        <f>'1.4'!AE17/5500</f>
        <v>0.36608870496926404</v>
      </c>
      <c r="AF17" s="1503">
        <f>'1.4'!AF17/5500</f>
        <v>0.66969311321255409</v>
      </c>
    </row>
    <row r="18" spans="1:32" ht="15.75" thickBot="1">
      <c r="A18" s="135"/>
      <c r="B18" s="99" t="s">
        <v>413</v>
      </c>
      <c r="C18" s="144" t="str">
        <f>IF(C7=0,"",C17/C7)</f>
        <v/>
      </c>
      <c r="D18" s="143">
        <f>IF(D7=0,0,D17/D7)</f>
        <v>0</v>
      </c>
      <c r="E18" s="143">
        <f>IF(E7=0,0,E17/E7)</f>
        <v>0</v>
      </c>
      <c r="F18" s="143">
        <f>IF(F7=0,0,F17/F7)</f>
        <v>8.4421117731089526E-2</v>
      </c>
      <c r="G18" s="145">
        <f>IF(G7=0,0,G17/G7)</f>
        <v>0.21945891287772118</v>
      </c>
      <c r="H18" s="144" t="str">
        <f>IF(H7=0,"",H17/H7)</f>
        <v/>
      </c>
      <c r="I18" s="143">
        <f>IF(I7=0,0,I17/I7)</f>
        <v>0</v>
      </c>
      <c r="J18" s="143">
        <f>IF(J7=0,0,J17/J7)</f>
        <v>0</v>
      </c>
      <c r="K18" s="143">
        <f>IF(K7=0,0,K17/K7)</f>
        <v>5.8305060208533009E-2</v>
      </c>
      <c r="L18" s="145">
        <f>IF(L7=0,0,L17/L7)</f>
        <v>0.16769751859215079</v>
      </c>
      <c r="M18" s="144" t="str">
        <f>IF(M7=0,"",M17/M7)</f>
        <v/>
      </c>
      <c r="N18" s="143">
        <f>IF(N7=0,0,N17/N7)</f>
        <v>0</v>
      </c>
      <c r="O18" s="143">
        <f>IF(O7=0,0,O17/O7)</f>
        <v>0</v>
      </c>
      <c r="P18" s="143">
        <f>IF(P7=0,0,P17/P7)</f>
        <v>8.5075825395635851E-2</v>
      </c>
      <c r="Q18" s="145">
        <f>IF(Q7=0,0,Q17/Q7)</f>
        <v>0.2196049035019248</v>
      </c>
      <c r="R18" s="144" t="str">
        <f>IF(R7=0,"",R17/R7)</f>
        <v/>
      </c>
      <c r="S18" s="143">
        <f>IF(S7=0,0,S17/S7)</f>
        <v>0</v>
      </c>
      <c r="T18" s="143">
        <f>IF(T7=0,0,T17/T7)</f>
        <v>0</v>
      </c>
      <c r="U18" s="143">
        <f>IF(U7=0,0,U17/U7)</f>
        <v>7.5203085108340062E-2</v>
      </c>
      <c r="V18" s="145">
        <f>IF(V7=0,0,V17/V7)</f>
        <v>0.19546606602889643</v>
      </c>
      <c r="W18" s="144" t="str">
        <f>IF(W7=0,"",W17/W7)</f>
        <v/>
      </c>
      <c r="X18" s="143">
        <f>IF(X7=0,0,X17/X7)</f>
        <v>0</v>
      </c>
      <c r="Y18" s="143">
        <f>IF(Y7=0,0,Y17/Y7)</f>
        <v>0</v>
      </c>
      <c r="Z18" s="1505">
        <f>IF(Z7=0,0,Z17/Z7)</f>
        <v>7.341661082583413E-2</v>
      </c>
      <c r="AA18" s="1097">
        <f>IF(AA7=0,0,AA17/AA7)</f>
        <v>0.19649591990674081</v>
      </c>
      <c r="AB18" s="1506" t="str">
        <f>IF(AB7=0,"",AB17/AB7)</f>
        <v/>
      </c>
      <c r="AC18" s="1505">
        <f>IF(AC7=0,0,AC17/AC7)</f>
        <v>0</v>
      </c>
      <c r="AD18" s="1505">
        <f>IF(AD7=0,0,AD17/AD7)</f>
        <v>0</v>
      </c>
      <c r="AE18" s="1505">
        <f>IF(AE7=0,0,AE17/AE7)</f>
        <v>6.9449775018313759E-2</v>
      </c>
      <c r="AF18" s="1097">
        <f>IF(AF7=0,0,AF17/AF7)</f>
        <v>0.19649558498896244</v>
      </c>
    </row>
    <row r="19" spans="1:32" ht="15">
      <c r="A19" s="131" t="s">
        <v>251</v>
      </c>
      <c r="B19" s="132" t="s">
        <v>458</v>
      </c>
      <c r="C19" s="639">
        <f t="shared" ref="C19:C32" si="6">D19+E19+F19+G19</f>
        <v>4.0681934897254042</v>
      </c>
      <c r="D19" s="622">
        <f>D20+D24+D28+D29</f>
        <v>0</v>
      </c>
      <c r="E19" s="622">
        <f>E20+E24+E28+E29</f>
        <v>0</v>
      </c>
      <c r="F19" s="630">
        <f>F20+F24+F28+F29</f>
        <v>1.541189307146754</v>
      </c>
      <c r="G19" s="631">
        <f>G20+G24+G28+G29</f>
        <v>2.5270041825786502</v>
      </c>
      <c r="H19" s="613">
        <f t="shared" ref="H19:H32" si="7">I19+J19+K19+L19</f>
        <v>4.1103636363636369</v>
      </c>
      <c r="I19" s="622">
        <f>I20+I24+I28+I29</f>
        <v>0</v>
      </c>
      <c r="J19" s="622">
        <f>J20+J24+J28+J29</f>
        <v>0</v>
      </c>
      <c r="K19" s="622">
        <f>K20+K24+K28+K29</f>
        <v>1.4290909090909092</v>
      </c>
      <c r="L19" s="603">
        <f>L20+L24+L28+L29</f>
        <v>2.6812727272727273</v>
      </c>
      <c r="M19" s="613">
        <f t="shared" ref="M19:M32" si="8">N19+O19+P19+Q19</f>
        <v>4.1189090909090913</v>
      </c>
      <c r="N19" s="622">
        <f>N20+N24+N28+N29</f>
        <v>0</v>
      </c>
      <c r="O19" s="622">
        <f>O20+O24+O28+O29</f>
        <v>0</v>
      </c>
      <c r="P19" s="622">
        <f>P20+P24+P28+P29</f>
        <v>1.5370909090909091</v>
      </c>
      <c r="Q19" s="603">
        <f>Q20+Q24+Q28+Q29</f>
        <v>2.581818181818182</v>
      </c>
      <c r="R19" s="613">
        <f t="shared" ref="R19:R32" si="9">S19+T19+U19+V19</f>
        <v>4.194</v>
      </c>
      <c r="S19" s="622">
        <f>S20+S24+S28+S29</f>
        <v>0</v>
      </c>
      <c r="T19" s="622">
        <f>T20+T24+T28+T29</f>
        <v>0</v>
      </c>
      <c r="U19" s="622">
        <f>U20+U24+U28+U29</f>
        <v>1.5888494032452731</v>
      </c>
      <c r="V19" s="603">
        <f>V20+V24+V28+V29</f>
        <v>2.605150596754727</v>
      </c>
      <c r="W19" s="613">
        <f>X19+Y19+Z19+AA19</f>
        <v>4.2609090909090899</v>
      </c>
      <c r="X19" s="622">
        <f>X20+X24+X28+X29</f>
        <v>0</v>
      </c>
      <c r="Y19" s="622">
        <f>Y20+Y24+Y28+Y29</f>
        <v>0</v>
      </c>
      <c r="Z19" s="622">
        <f>Z20+Z24+Z28+Z29</f>
        <v>1.5920000000000001</v>
      </c>
      <c r="AA19" s="603">
        <f>AA20+AA24+AA28+AA29</f>
        <v>2.6689090909090898</v>
      </c>
      <c r="AB19" s="613">
        <f>AC19+AD19+AE19+AF19</f>
        <v>4.2354909090909096</v>
      </c>
      <c r="AC19" s="622">
        <f>AC20+AC24+AC28+AC29</f>
        <v>0</v>
      </c>
      <c r="AD19" s="622">
        <f>AD20+AD24+AD28+AD29</f>
        <v>0</v>
      </c>
      <c r="AE19" s="622">
        <f>AE20+AE24+AE28+AE29</f>
        <v>1.4970000000000001</v>
      </c>
      <c r="AF19" s="603">
        <f>AF20+AF24+AF28+AF29</f>
        <v>2.7384909090909093</v>
      </c>
    </row>
    <row r="20" spans="1:32" ht="39">
      <c r="A20" s="92" t="s">
        <v>414</v>
      </c>
      <c r="B20" s="97" t="s">
        <v>459</v>
      </c>
      <c r="C20" s="616">
        <f t="shared" si="6"/>
        <v>4.0681934897254042</v>
      </c>
      <c r="D20" s="617">
        <f>D21+D22+D23</f>
        <v>0</v>
      </c>
      <c r="E20" s="617">
        <f>E21+E22+E23</f>
        <v>0</v>
      </c>
      <c r="F20" s="632">
        <f>F21+F22+F23</f>
        <v>1.541189307146754</v>
      </c>
      <c r="G20" s="633">
        <f>G21+G22+G23</f>
        <v>2.5270041825786502</v>
      </c>
      <c r="H20" s="616">
        <f t="shared" si="7"/>
        <v>4.1103636363636369</v>
      </c>
      <c r="I20" s="617">
        <f>I21+I22+I23</f>
        <v>0</v>
      </c>
      <c r="J20" s="617">
        <f>J21+J22+J23</f>
        <v>0</v>
      </c>
      <c r="K20" s="617">
        <f>K21+K22+K23</f>
        <v>1.4290909090909092</v>
      </c>
      <c r="L20" s="618">
        <f>L21+L22+L23</f>
        <v>2.6812727272727273</v>
      </c>
      <c r="M20" s="616">
        <f t="shared" si="8"/>
        <v>4.1189090909090913</v>
      </c>
      <c r="N20" s="617">
        <f>N21+N22+N23</f>
        <v>0</v>
      </c>
      <c r="O20" s="617">
        <f>O21+O22+O23</f>
        <v>0</v>
      </c>
      <c r="P20" s="617">
        <f>P21+P22+P23</f>
        <v>1.5370909090909091</v>
      </c>
      <c r="Q20" s="618">
        <f>Q21+Q22+Q23</f>
        <v>2.581818181818182</v>
      </c>
      <c r="R20" s="616">
        <f t="shared" si="9"/>
        <v>4.194</v>
      </c>
      <c r="S20" s="617">
        <f>S21+S22+S23</f>
        <v>0</v>
      </c>
      <c r="T20" s="617">
        <f>T21+T22+T23</f>
        <v>0</v>
      </c>
      <c r="U20" s="617">
        <f>U21+U22+U23</f>
        <v>1.5888494032452731</v>
      </c>
      <c r="V20" s="618">
        <f>V21+V22+V23</f>
        <v>2.605150596754727</v>
      </c>
      <c r="W20" s="616">
        <f>X20+Y20+Z20+AA20</f>
        <v>4.2609090909090899</v>
      </c>
      <c r="X20" s="617">
        <f>X21+X22+X23</f>
        <v>0</v>
      </c>
      <c r="Y20" s="617">
        <f>Y21+Y22+Y23</f>
        <v>0</v>
      </c>
      <c r="Z20" s="617">
        <f>Z21+Z22+Z23</f>
        <v>1.5920000000000001</v>
      </c>
      <c r="AA20" s="618">
        <f>AA21+AA22+AA23</f>
        <v>2.6689090909090898</v>
      </c>
      <c r="AB20" s="616">
        <f>AC20+AD20+AE20+AF20</f>
        <v>4.2354909090909096</v>
      </c>
      <c r="AC20" s="617">
        <f>AC21+AC22+AC23</f>
        <v>0</v>
      </c>
      <c r="AD20" s="617">
        <f>AD21+AD22+AD23</f>
        <v>0</v>
      </c>
      <c r="AE20" s="617">
        <f>AE21+AE22+AE23</f>
        <v>1.4970000000000001</v>
      </c>
      <c r="AF20" s="618">
        <f>AF21+AF22+AF23</f>
        <v>2.7384909090909093</v>
      </c>
    </row>
    <row r="21" spans="1:32" ht="15">
      <c r="A21" s="126" t="s">
        <v>439</v>
      </c>
      <c r="B21" s="169" t="s">
        <v>4</v>
      </c>
      <c r="C21" s="638">
        <f t="shared" si="6"/>
        <v>4.0681934897254042</v>
      </c>
      <c r="D21" s="609"/>
      <c r="E21" s="609"/>
      <c r="F21" s="634">
        <v>1.541189307146754</v>
      </c>
      <c r="G21" s="625">
        <v>2.5270041825786502</v>
      </c>
      <c r="H21" s="616">
        <f t="shared" si="7"/>
        <v>4.1103636363636369</v>
      </c>
      <c r="I21" s="609"/>
      <c r="J21" s="609"/>
      <c r="K21" s="857">
        <v>1.4290909090909092</v>
      </c>
      <c r="L21" s="859">
        <v>2.6812727272727273</v>
      </c>
      <c r="M21" s="616">
        <f t="shared" si="8"/>
        <v>4.1189090909090913</v>
      </c>
      <c r="N21" s="609"/>
      <c r="O21" s="609"/>
      <c r="P21" s="634">
        <f>'1.4'!P21/5500</f>
        <v>1.5370909090909091</v>
      </c>
      <c r="Q21" s="634">
        <f>'1.4'!Q21/5500</f>
        <v>2.581818181818182</v>
      </c>
      <c r="R21" s="616">
        <f>S21+T21+U21+V21</f>
        <v>4.194</v>
      </c>
      <c r="S21" s="609"/>
      <c r="T21" s="609"/>
      <c r="U21" s="634">
        <f>'1.4'!U21/5500</f>
        <v>1.5888494032452731</v>
      </c>
      <c r="V21" s="634">
        <f>'1.4'!V21/5500</f>
        <v>2.605150596754727</v>
      </c>
      <c r="W21" s="616">
        <f>X21+Y21+Z21+AA21</f>
        <v>4.2609090909090899</v>
      </c>
      <c r="X21" s="609"/>
      <c r="Y21" s="609"/>
      <c r="Z21" s="634">
        <f>'1.4'!Z21/5500</f>
        <v>1.5920000000000001</v>
      </c>
      <c r="AA21" s="634">
        <f>'1.4'!AA21/5500</f>
        <v>2.6689090909090898</v>
      </c>
      <c r="AB21" s="616">
        <f>AC21+AD21+AE21+AF21</f>
        <v>4.2354909090909096</v>
      </c>
      <c r="AC21" s="609"/>
      <c r="AD21" s="609"/>
      <c r="AE21" s="634">
        <f>'1.4'!AE21/5500</f>
        <v>1.4970000000000001</v>
      </c>
      <c r="AF21" s="634">
        <f>'1.4'!AF21/5500</f>
        <v>2.7384909090909093</v>
      </c>
    </row>
    <row r="22" spans="1:32" ht="15">
      <c r="A22" s="126" t="s">
        <v>440</v>
      </c>
      <c r="B22" s="169" t="s">
        <v>493</v>
      </c>
      <c r="C22" s="638">
        <f t="shared" si="6"/>
        <v>0</v>
      </c>
      <c r="D22" s="609"/>
      <c r="E22" s="609"/>
      <c r="F22" s="635"/>
      <c r="G22" s="608"/>
      <c r="H22" s="616">
        <f t="shared" si="7"/>
        <v>0</v>
      </c>
      <c r="I22" s="609"/>
      <c r="J22" s="609"/>
      <c r="K22" s="609"/>
      <c r="L22" s="608"/>
      <c r="M22" s="616">
        <f t="shared" si="8"/>
        <v>0</v>
      </c>
      <c r="N22" s="609"/>
      <c r="O22" s="609"/>
      <c r="P22" s="609"/>
      <c r="Q22" s="608"/>
      <c r="R22" s="616">
        <f t="shared" si="9"/>
        <v>0</v>
      </c>
      <c r="S22" s="609"/>
      <c r="T22" s="609"/>
      <c r="U22" s="609"/>
      <c r="V22" s="609"/>
      <c r="W22" s="616">
        <f t="shared" ref="W22:W32" si="10">X22+Y22+Z22+AA22</f>
        <v>0</v>
      </c>
      <c r="X22" s="609"/>
      <c r="Y22" s="609"/>
      <c r="Z22" s="609"/>
      <c r="AA22" s="609"/>
      <c r="AB22" s="616">
        <f t="shared" ref="AB22:AB32" si="11">AC22+AD22+AE22+AF22</f>
        <v>0</v>
      </c>
      <c r="AC22" s="609"/>
      <c r="AD22" s="609"/>
      <c r="AE22" s="609"/>
      <c r="AF22" s="609"/>
    </row>
    <row r="23" spans="1:32" ht="15">
      <c r="A23" s="126" t="s">
        <v>441</v>
      </c>
      <c r="B23" s="169"/>
      <c r="C23" s="616">
        <f t="shared" si="6"/>
        <v>0</v>
      </c>
      <c r="D23" s="609"/>
      <c r="E23" s="609"/>
      <c r="F23" s="609"/>
      <c r="G23" s="608"/>
      <c r="H23" s="616">
        <f t="shared" si="7"/>
        <v>0</v>
      </c>
      <c r="I23" s="609"/>
      <c r="J23" s="609"/>
      <c r="K23" s="609"/>
      <c r="L23" s="608"/>
      <c r="M23" s="616">
        <f t="shared" si="8"/>
        <v>0</v>
      </c>
      <c r="N23" s="609"/>
      <c r="O23" s="609"/>
      <c r="P23" s="609"/>
      <c r="Q23" s="608"/>
      <c r="R23" s="616">
        <f t="shared" si="9"/>
        <v>0</v>
      </c>
      <c r="S23" s="609"/>
      <c r="T23" s="609"/>
      <c r="U23" s="609"/>
      <c r="V23" s="609"/>
      <c r="W23" s="616">
        <f t="shared" si="10"/>
        <v>0</v>
      </c>
      <c r="X23" s="609"/>
      <c r="Y23" s="609"/>
      <c r="Z23" s="609"/>
      <c r="AA23" s="609"/>
      <c r="AB23" s="616">
        <f t="shared" si="11"/>
        <v>0</v>
      </c>
      <c r="AC23" s="609"/>
      <c r="AD23" s="609"/>
      <c r="AE23" s="609"/>
      <c r="AF23" s="609"/>
    </row>
    <row r="24" spans="1:32" ht="26.25">
      <c r="A24" s="92" t="s">
        <v>415</v>
      </c>
      <c r="B24" s="97" t="s">
        <v>0</v>
      </c>
      <c r="C24" s="616">
        <f t="shared" si="6"/>
        <v>0</v>
      </c>
      <c r="D24" s="617">
        <f>D25+D26+D27</f>
        <v>0</v>
      </c>
      <c r="E24" s="617">
        <f>E25+E26+E27</f>
        <v>0</v>
      </c>
      <c r="F24" s="617">
        <f>F25+F26+F27</f>
        <v>0</v>
      </c>
      <c r="G24" s="618">
        <f>G25+G26+G27</f>
        <v>0</v>
      </c>
      <c r="H24" s="616">
        <f t="shared" si="7"/>
        <v>0</v>
      </c>
      <c r="I24" s="617">
        <f>I25+I26+I27</f>
        <v>0</v>
      </c>
      <c r="J24" s="617">
        <f>J25+J26+J27</f>
        <v>0</v>
      </c>
      <c r="K24" s="617">
        <f>K25+K26+K27</f>
        <v>0</v>
      </c>
      <c r="L24" s="618">
        <f>L25+L26+L27</f>
        <v>0</v>
      </c>
      <c r="M24" s="616">
        <f t="shared" si="8"/>
        <v>0</v>
      </c>
      <c r="N24" s="617">
        <f>N25+N26+N27</f>
        <v>0</v>
      </c>
      <c r="O24" s="617">
        <f>O25+O26+O27</f>
        <v>0</v>
      </c>
      <c r="P24" s="617">
        <f>P25+P26+P27</f>
        <v>0</v>
      </c>
      <c r="Q24" s="618">
        <f>Q25+Q26+Q27</f>
        <v>0</v>
      </c>
      <c r="R24" s="616">
        <f t="shared" si="9"/>
        <v>0</v>
      </c>
      <c r="S24" s="617">
        <f>S25+S26+S27</f>
        <v>0</v>
      </c>
      <c r="T24" s="617">
        <f>T25+T26+T27</f>
        <v>0</v>
      </c>
      <c r="U24" s="617">
        <f>U25+U26+U27</f>
        <v>0</v>
      </c>
      <c r="V24" s="618">
        <f>V25+V26+V27</f>
        <v>0</v>
      </c>
      <c r="W24" s="616">
        <f t="shared" si="10"/>
        <v>0</v>
      </c>
      <c r="X24" s="617">
        <f>X25+X26+X27</f>
        <v>0</v>
      </c>
      <c r="Y24" s="617">
        <f>Y25+Y26+Y27</f>
        <v>0</v>
      </c>
      <c r="Z24" s="617">
        <f>Z25+Z26+Z27</f>
        <v>0</v>
      </c>
      <c r="AA24" s="618">
        <f>AA25+AA26+AA27</f>
        <v>0</v>
      </c>
      <c r="AB24" s="616">
        <f t="shared" si="11"/>
        <v>0</v>
      </c>
      <c r="AC24" s="617">
        <f>AC25+AC26+AC27</f>
        <v>0</v>
      </c>
      <c r="AD24" s="617">
        <f>AD25+AD26+AD27</f>
        <v>0</v>
      </c>
      <c r="AE24" s="617">
        <f>AE25+AE26+AE27</f>
        <v>0</v>
      </c>
      <c r="AF24" s="618">
        <f>AF25+AF26+AF27</f>
        <v>0</v>
      </c>
    </row>
    <row r="25" spans="1:32" ht="15">
      <c r="A25" s="126" t="s">
        <v>442</v>
      </c>
      <c r="B25" s="176"/>
      <c r="C25" s="616">
        <f t="shared" si="6"/>
        <v>0</v>
      </c>
      <c r="D25" s="623"/>
      <c r="E25" s="623"/>
      <c r="F25" s="623"/>
      <c r="G25" s="624"/>
      <c r="H25" s="616">
        <f t="shared" si="7"/>
        <v>0</v>
      </c>
      <c r="I25" s="623"/>
      <c r="J25" s="623"/>
      <c r="K25" s="623"/>
      <c r="L25" s="624"/>
      <c r="M25" s="616">
        <f t="shared" si="8"/>
        <v>0</v>
      </c>
      <c r="N25" s="623"/>
      <c r="O25" s="623"/>
      <c r="P25" s="623"/>
      <c r="Q25" s="624"/>
      <c r="R25" s="616">
        <f t="shared" si="9"/>
        <v>0</v>
      </c>
      <c r="S25" s="623"/>
      <c r="T25" s="623"/>
      <c r="U25" s="623"/>
      <c r="V25" s="624"/>
      <c r="W25" s="616">
        <f t="shared" si="10"/>
        <v>0</v>
      </c>
      <c r="X25" s="623"/>
      <c r="Y25" s="623"/>
      <c r="Z25" s="623"/>
      <c r="AA25" s="624"/>
      <c r="AB25" s="616">
        <f t="shared" si="11"/>
        <v>0</v>
      </c>
      <c r="AC25" s="623"/>
      <c r="AD25" s="623"/>
      <c r="AE25" s="623"/>
      <c r="AF25" s="624"/>
    </row>
    <row r="26" spans="1:32" ht="15">
      <c r="A26" s="126" t="s">
        <v>443</v>
      </c>
      <c r="B26" s="176"/>
      <c r="C26" s="616">
        <f t="shared" si="6"/>
        <v>0</v>
      </c>
      <c r="D26" s="623"/>
      <c r="E26" s="623"/>
      <c r="F26" s="623"/>
      <c r="G26" s="624"/>
      <c r="H26" s="616">
        <f t="shared" si="7"/>
        <v>0</v>
      </c>
      <c r="I26" s="623"/>
      <c r="J26" s="623"/>
      <c r="K26" s="623"/>
      <c r="L26" s="624"/>
      <c r="M26" s="616">
        <f t="shared" si="8"/>
        <v>0</v>
      </c>
      <c r="N26" s="623"/>
      <c r="O26" s="623"/>
      <c r="P26" s="623"/>
      <c r="Q26" s="624"/>
      <c r="R26" s="616">
        <f t="shared" si="9"/>
        <v>0</v>
      </c>
      <c r="S26" s="623"/>
      <c r="T26" s="623"/>
      <c r="U26" s="623"/>
      <c r="V26" s="624"/>
      <c r="W26" s="616">
        <f t="shared" si="10"/>
        <v>0</v>
      </c>
      <c r="X26" s="623"/>
      <c r="Y26" s="623"/>
      <c r="Z26" s="623"/>
      <c r="AA26" s="624"/>
      <c r="AB26" s="616">
        <f t="shared" si="11"/>
        <v>0</v>
      </c>
      <c r="AC26" s="623"/>
      <c r="AD26" s="623"/>
      <c r="AE26" s="623"/>
      <c r="AF26" s="624"/>
    </row>
    <row r="27" spans="1:32" ht="15">
      <c r="A27" s="126" t="s">
        <v>444</v>
      </c>
      <c r="B27" s="176"/>
      <c r="C27" s="616">
        <f t="shared" si="6"/>
        <v>0</v>
      </c>
      <c r="D27" s="623"/>
      <c r="E27" s="623"/>
      <c r="F27" s="623"/>
      <c r="G27" s="624"/>
      <c r="H27" s="616">
        <f t="shared" si="7"/>
        <v>0</v>
      </c>
      <c r="I27" s="623"/>
      <c r="J27" s="623"/>
      <c r="K27" s="623"/>
      <c r="L27" s="624"/>
      <c r="M27" s="616">
        <f t="shared" si="8"/>
        <v>0</v>
      </c>
      <c r="N27" s="623"/>
      <c r="O27" s="623"/>
      <c r="P27" s="623"/>
      <c r="Q27" s="624"/>
      <c r="R27" s="616">
        <f t="shared" si="9"/>
        <v>0</v>
      </c>
      <c r="S27" s="623"/>
      <c r="T27" s="623"/>
      <c r="U27" s="623"/>
      <c r="V27" s="624"/>
      <c r="W27" s="616">
        <f t="shared" si="10"/>
        <v>0</v>
      </c>
      <c r="X27" s="623"/>
      <c r="Y27" s="623"/>
      <c r="Z27" s="623"/>
      <c r="AA27" s="624"/>
      <c r="AB27" s="616">
        <f t="shared" si="11"/>
        <v>0</v>
      </c>
      <c r="AC27" s="623"/>
      <c r="AD27" s="623"/>
      <c r="AE27" s="623"/>
      <c r="AF27" s="624"/>
    </row>
    <row r="28" spans="1:32" ht="26.25">
      <c r="A28" s="92" t="s">
        <v>416</v>
      </c>
      <c r="B28" s="98" t="s">
        <v>1</v>
      </c>
      <c r="C28" s="616">
        <f t="shared" si="6"/>
        <v>0</v>
      </c>
      <c r="D28" s="609"/>
      <c r="E28" s="609"/>
      <c r="F28" s="609"/>
      <c r="G28" s="608"/>
      <c r="H28" s="616">
        <f t="shared" si="7"/>
        <v>0</v>
      </c>
      <c r="I28" s="609"/>
      <c r="J28" s="609"/>
      <c r="K28" s="609"/>
      <c r="L28" s="608"/>
      <c r="M28" s="616">
        <f t="shared" si="8"/>
        <v>0</v>
      </c>
      <c r="N28" s="609"/>
      <c r="O28" s="609"/>
      <c r="P28" s="609"/>
      <c r="Q28" s="608"/>
      <c r="R28" s="616">
        <f t="shared" si="9"/>
        <v>0</v>
      </c>
      <c r="S28" s="609"/>
      <c r="T28" s="609"/>
      <c r="U28" s="609"/>
      <c r="V28" s="609"/>
      <c r="W28" s="616">
        <f t="shared" si="10"/>
        <v>0</v>
      </c>
      <c r="X28" s="609"/>
      <c r="Y28" s="609"/>
      <c r="Z28" s="609"/>
      <c r="AA28" s="609"/>
      <c r="AB28" s="616">
        <f t="shared" si="11"/>
        <v>0</v>
      </c>
      <c r="AC28" s="609"/>
      <c r="AD28" s="609"/>
      <c r="AE28" s="609"/>
      <c r="AF28" s="609"/>
    </row>
    <row r="29" spans="1:32" ht="26.25">
      <c r="A29" s="92" t="s">
        <v>437</v>
      </c>
      <c r="B29" s="97" t="s">
        <v>2</v>
      </c>
      <c r="C29" s="616">
        <f t="shared" si="6"/>
        <v>0</v>
      </c>
      <c r="D29" s="617">
        <f>D30+D31+D32</f>
        <v>0</v>
      </c>
      <c r="E29" s="617">
        <f>E30+E31+E32</f>
        <v>0</v>
      </c>
      <c r="F29" s="617">
        <f>F30+F31+F32</f>
        <v>0</v>
      </c>
      <c r="G29" s="618">
        <f>G30+G31+G32</f>
        <v>0</v>
      </c>
      <c r="H29" s="616">
        <f t="shared" si="7"/>
        <v>0</v>
      </c>
      <c r="I29" s="617">
        <f>I30+I31+I32</f>
        <v>0</v>
      </c>
      <c r="J29" s="617">
        <f>J30+J31+J32</f>
        <v>0</v>
      </c>
      <c r="K29" s="617">
        <f>K30+K31+K32</f>
        <v>0</v>
      </c>
      <c r="L29" s="618">
        <f>L30+L31+L32</f>
        <v>0</v>
      </c>
      <c r="M29" s="616">
        <f t="shared" si="8"/>
        <v>0</v>
      </c>
      <c r="N29" s="617">
        <f>N30+N31+N32</f>
        <v>0</v>
      </c>
      <c r="O29" s="617">
        <f>O30+O31+O32</f>
        <v>0</v>
      </c>
      <c r="P29" s="617">
        <f>P30+P31+P32</f>
        <v>0</v>
      </c>
      <c r="Q29" s="618">
        <f>Q30+Q31+Q32</f>
        <v>0</v>
      </c>
      <c r="R29" s="616">
        <f t="shared" si="9"/>
        <v>0</v>
      </c>
      <c r="S29" s="617">
        <f>S30+S31+S32</f>
        <v>0</v>
      </c>
      <c r="T29" s="617">
        <f>T30+T31+T32</f>
        <v>0</v>
      </c>
      <c r="U29" s="617">
        <f>U30+U31+U32</f>
        <v>0</v>
      </c>
      <c r="V29" s="618">
        <f>V30+V31+V32</f>
        <v>0</v>
      </c>
      <c r="W29" s="616">
        <f t="shared" si="10"/>
        <v>0</v>
      </c>
      <c r="X29" s="617">
        <f>X30+X31+X32</f>
        <v>0</v>
      </c>
      <c r="Y29" s="617">
        <f>Y30+Y31+Y32</f>
        <v>0</v>
      </c>
      <c r="Z29" s="617">
        <f>Z30+Z31+Z32</f>
        <v>0</v>
      </c>
      <c r="AA29" s="618">
        <f>AA30+AA31+AA32</f>
        <v>0</v>
      </c>
      <c r="AB29" s="616">
        <f t="shared" si="11"/>
        <v>0</v>
      </c>
      <c r="AC29" s="617">
        <f>AC30+AC31+AC32</f>
        <v>0</v>
      </c>
      <c r="AD29" s="617">
        <f>AD30+AD31+AD32</f>
        <v>0</v>
      </c>
      <c r="AE29" s="617">
        <f>AE30+AE31+AE32</f>
        <v>0</v>
      </c>
      <c r="AF29" s="618">
        <f>AF30+AF31+AF32</f>
        <v>0</v>
      </c>
    </row>
    <row r="30" spans="1:32" ht="15">
      <c r="A30" s="126" t="s">
        <v>445</v>
      </c>
      <c r="B30" s="177"/>
      <c r="C30" s="616">
        <f t="shared" si="6"/>
        <v>0</v>
      </c>
      <c r="D30" s="623"/>
      <c r="E30" s="623"/>
      <c r="F30" s="623"/>
      <c r="G30" s="624"/>
      <c r="H30" s="616">
        <f t="shared" si="7"/>
        <v>0</v>
      </c>
      <c r="I30" s="623"/>
      <c r="J30" s="623"/>
      <c r="K30" s="623"/>
      <c r="L30" s="624"/>
      <c r="M30" s="616">
        <f t="shared" si="8"/>
        <v>0</v>
      </c>
      <c r="N30" s="623"/>
      <c r="O30" s="623"/>
      <c r="P30" s="623"/>
      <c r="Q30" s="624"/>
      <c r="R30" s="616">
        <f t="shared" si="9"/>
        <v>0</v>
      </c>
      <c r="S30" s="623"/>
      <c r="T30" s="623"/>
      <c r="U30" s="623"/>
      <c r="V30" s="624"/>
      <c r="W30" s="616">
        <f t="shared" si="10"/>
        <v>0</v>
      </c>
      <c r="X30" s="623"/>
      <c r="Y30" s="623"/>
      <c r="Z30" s="623"/>
      <c r="AA30" s="624"/>
      <c r="AB30" s="616">
        <f t="shared" si="11"/>
        <v>0</v>
      </c>
      <c r="AC30" s="623"/>
      <c r="AD30" s="623"/>
      <c r="AE30" s="623"/>
      <c r="AF30" s="624"/>
    </row>
    <row r="31" spans="1:32" ht="15">
      <c r="A31" s="126" t="s">
        <v>446</v>
      </c>
      <c r="B31" s="176"/>
      <c r="C31" s="616">
        <f t="shared" si="6"/>
        <v>0</v>
      </c>
      <c r="D31" s="623"/>
      <c r="E31" s="623"/>
      <c r="F31" s="623"/>
      <c r="G31" s="624"/>
      <c r="H31" s="616">
        <f t="shared" si="7"/>
        <v>0</v>
      </c>
      <c r="I31" s="623"/>
      <c r="J31" s="623"/>
      <c r="K31" s="623"/>
      <c r="L31" s="624"/>
      <c r="M31" s="616">
        <f t="shared" si="8"/>
        <v>0</v>
      </c>
      <c r="N31" s="623"/>
      <c r="O31" s="623"/>
      <c r="P31" s="623"/>
      <c r="Q31" s="624"/>
      <c r="R31" s="616">
        <f t="shared" si="9"/>
        <v>0</v>
      </c>
      <c r="S31" s="623"/>
      <c r="T31" s="623"/>
      <c r="U31" s="623"/>
      <c r="V31" s="624"/>
      <c r="W31" s="616">
        <f t="shared" si="10"/>
        <v>0</v>
      </c>
      <c r="X31" s="623"/>
      <c r="Y31" s="623"/>
      <c r="Z31" s="623"/>
      <c r="AA31" s="624"/>
      <c r="AB31" s="616">
        <f t="shared" si="11"/>
        <v>0</v>
      </c>
      <c r="AC31" s="623"/>
      <c r="AD31" s="623"/>
      <c r="AE31" s="623"/>
      <c r="AF31" s="624"/>
    </row>
    <row r="32" spans="1:32" ht="15.75" thickBot="1">
      <c r="A32" s="127" t="s">
        <v>447</v>
      </c>
      <c r="B32" s="170"/>
      <c r="C32" s="619">
        <f t="shared" si="6"/>
        <v>0</v>
      </c>
      <c r="D32" s="620"/>
      <c r="E32" s="620"/>
      <c r="F32" s="620"/>
      <c r="G32" s="621"/>
      <c r="H32" s="619">
        <f t="shared" si="7"/>
        <v>0</v>
      </c>
      <c r="I32" s="620"/>
      <c r="J32" s="620"/>
      <c r="K32" s="620"/>
      <c r="L32" s="621"/>
      <c r="M32" s="619">
        <f t="shared" si="8"/>
        <v>0</v>
      </c>
      <c r="N32" s="620"/>
      <c r="O32" s="620"/>
      <c r="P32" s="620"/>
      <c r="Q32" s="621"/>
      <c r="R32" s="619">
        <f t="shared" si="9"/>
        <v>0</v>
      </c>
      <c r="S32" s="620"/>
      <c r="T32" s="620"/>
      <c r="U32" s="620"/>
      <c r="V32" s="621"/>
      <c r="W32" s="619">
        <f t="shared" si="10"/>
        <v>0</v>
      </c>
      <c r="X32" s="620"/>
      <c r="Y32" s="620"/>
      <c r="Z32" s="620"/>
      <c r="AA32" s="621"/>
      <c r="AB32" s="619">
        <f t="shared" si="11"/>
        <v>0</v>
      </c>
      <c r="AC32" s="620"/>
      <c r="AD32" s="620"/>
      <c r="AE32" s="620"/>
      <c r="AF32" s="621"/>
    </row>
    <row r="33" spans="1:52" ht="13.5" thickBot="1">
      <c r="A33" s="81"/>
      <c r="B33" s="82"/>
      <c r="C33" s="81"/>
      <c r="D33" s="81"/>
      <c r="E33" s="81"/>
      <c r="F33" s="81"/>
      <c r="G33" s="81"/>
      <c r="H33" s="81"/>
      <c r="I33" s="84"/>
      <c r="J33" s="84"/>
      <c r="K33" s="84"/>
      <c r="M33" s="81"/>
      <c r="N33" s="84"/>
      <c r="O33" s="84"/>
      <c r="P33" s="84"/>
    </row>
    <row r="34" spans="1:52" ht="25.5">
      <c r="A34" s="191" t="s">
        <v>408</v>
      </c>
      <c r="B34" s="194" t="s">
        <v>12</v>
      </c>
      <c r="C34" s="641">
        <f>SUM(D34:G34)</f>
        <v>4.9207980396109896</v>
      </c>
      <c r="D34" s="590">
        <f>D35+D36</f>
        <v>0</v>
      </c>
      <c r="E34" s="590">
        <f>E35+E36</f>
        <v>0</v>
      </c>
      <c r="F34" s="644">
        <f>F35+F36</f>
        <v>1.6832949481398134</v>
      </c>
      <c r="G34" s="645">
        <f>G35+G36</f>
        <v>3.2375030914711762</v>
      </c>
      <c r="H34" s="589">
        <f>SUM(I34:L34)</f>
        <v>4.7390854554455002</v>
      </c>
      <c r="I34" s="590">
        <f>I35+I36</f>
        <v>0</v>
      </c>
      <c r="J34" s="590">
        <f>J35+J36</f>
        <v>0</v>
      </c>
      <c r="K34" s="590">
        <f>K35+K36</f>
        <v>1.5175731000608046</v>
      </c>
      <c r="L34" s="591">
        <f>L35+L36</f>
        <v>3.2215123553846956</v>
      </c>
      <c r="M34" s="589">
        <f>SUM(N34:Q34)</f>
        <v>4.9883675166322288</v>
      </c>
      <c r="N34" s="590">
        <f>N35+N36</f>
        <v>0</v>
      </c>
      <c r="O34" s="590">
        <f>O35+O36</f>
        <v>0</v>
      </c>
      <c r="P34" s="590">
        <f>P35+P36</f>
        <v>1.6800199970184253</v>
      </c>
      <c r="Q34" s="591">
        <f>Q35+Q36</f>
        <v>3.3083475196138035</v>
      </c>
      <c r="R34" s="589">
        <f>SUM(S34:V34)</f>
        <v>4.9561388884993134</v>
      </c>
      <c r="S34" s="590">
        <f>S35+S36</f>
        <v>0</v>
      </c>
      <c r="T34" s="590">
        <f>T35+T36</f>
        <v>0</v>
      </c>
      <c r="U34" s="590">
        <f>U35+U36</f>
        <v>1.718052231425758</v>
      </c>
      <c r="V34" s="591">
        <f>V35+V36</f>
        <v>3.2380866570735551</v>
      </c>
      <c r="W34" s="589">
        <f>SUM(X34:AA34)</f>
        <v>5.0397274949072326</v>
      </c>
      <c r="X34" s="590">
        <f>X35+X36</f>
        <v>0</v>
      </c>
      <c r="Y34" s="590">
        <f>Y35+Y36</f>
        <v>0</v>
      </c>
      <c r="Z34" s="590">
        <f>Z35+Z36</f>
        <v>1.7181400169701928</v>
      </c>
      <c r="AA34" s="591">
        <f>AA35+AA36</f>
        <v>3.3215874779370393</v>
      </c>
      <c r="AB34" s="589">
        <f>SUM(AC34:AF34)</f>
        <v>5.0169096556022588</v>
      </c>
      <c r="AC34" s="590">
        <f>AC35+AC36</f>
        <v>0</v>
      </c>
      <c r="AD34" s="590">
        <f>AD35+AD36</f>
        <v>0</v>
      </c>
      <c r="AE34" s="590">
        <f>AE35+AE36</f>
        <v>1.6087256332987958</v>
      </c>
      <c r="AF34" s="591">
        <f>AF35+AF36</f>
        <v>3.4081840223034634</v>
      </c>
    </row>
    <row r="35" spans="1:52">
      <c r="A35" s="192" t="s">
        <v>409</v>
      </c>
      <c r="B35" s="195" t="s">
        <v>10</v>
      </c>
      <c r="C35" s="642">
        <f>SUM(D35:G35)</f>
        <v>0.85260454988558532</v>
      </c>
      <c r="D35" s="593">
        <f>IF((D7-D17)=0,0,D17/(D7-D17)*D36)</f>
        <v>0</v>
      </c>
      <c r="E35" s="593">
        <f>IF((E7-E17)=0,0,E17/(E7-E17)*E36)</f>
        <v>0</v>
      </c>
      <c r="F35" s="646">
        <f>IF((F7-F17)=0,0,F17/(F7-F17)*F36)</f>
        <v>0.14210564099305945</v>
      </c>
      <c r="G35" s="647">
        <f>IF((G7-G17)=0,0,G17/(G7-G17)*G36)</f>
        <v>0.71049890889252587</v>
      </c>
      <c r="H35" s="592">
        <f>SUM(I35:L35)</f>
        <v>0.62872181908186375</v>
      </c>
      <c r="I35" s="593">
        <f>IF((I7-I17)=0,0,I17/(I7-I17)*I36)</f>
        <v>0</v>
      </c>
      <c r="J35" s="593">
        <f>IF((J7-J17)=0,0,J17/(J7-J17)*J36)</f>
        <v>0</v>
      </c>
      <c r="K35" s="593">
        <f>IF((K7-K17)=0,0,K17/(K7-K17)*K36)</f>
        <v>8.8482190969895305E-2</v>
      </c>
      <c r="L35" s="594">
        <f>IF((L7-L17)=0,0,L17/(L7-L17)*L36)</f>
        <v>0.54023962811196846</v>
      </c>
      <c r="M35" s="592">
        <f>SUM(N35:Q35)</f>
        <v>0.8694584257231377</v>
      </c>
      <c r="N35" s="593">
        <f>IF((N7-N17)=0,0,N17/(N7-N17)*N36)</f>
        <v>0</v>
      </c>
      <c r="O35" s="593">
        <f>IF((O7-O17)=0,0,O17/(O7-O17)*O36)</f>
        <v>0</v>
      </c>
      <c r="P35" s="593">
        <f>IF((P7-P17)=0,0,P17/(P7-P17)*P36)</f>
        <v>0.14292908792751619</v>
      </c>
      <c r="Q35" s="594">
        <f>IF((Q7-Q17)=0,0,Q17/(Q7-Q17)*Q36)</f>
        <v>0.72652933779562157</v>
      </c>
      <c r="R35" s="592">
        <f>SUM(S35:V35)</f>
        <v>0.76213888849931299</v>
      </c>
      <c r="S35" s="593">
        <f>IF((S7-S17)=0,0,S17/(S7-S17)*S36)</f>
        <v>0</v>
      </c>
      <c r="T35" s="593">
        <f>IF((T7-T17)=0,0,T17/(T7-T17)*T36)</f>
        <v>0</v>
      </c>
      <c r="U35" s="593">
        <f>IF((U7-U17)=0,0,U17/(U7-U17)*U36)</f>
        <v>0.12920282818048484</v>
      </c>
      <c r="V35" s="594">
        <f>IF((V7-V17)=0,0,V17/(V7-V17)*V36)</f>
        <v>0.6329360603188281</v>
      </c>
      <c r="W35" s="592">
        <f>SUM(X35:AA35)</f>
        <v>0.77881840399814239</v>
      </c>
      <c r="X35" s="593">
        <f>IF((X7-X17)=0,0,X17/(X7-X17)*X36)</f>
        <v>0</v>
      </c>
      <c r="Y35" s="593">
        <f>IF((Y7-Y17)=0,0,Y17/(Y7-Y17)*Y36)</f>
        <v>0</v>
      </c>
      <c r="Z35" s="593">
        <f>IF((Z7-Z17)=0,0,Z17/(Z7-Z17)*Z36)</f>
        <v>0.1261400169701927</v>
      </c>
      <c r="AA35" s="594">
        <f>IF((AA7-AA17)=0,0,AA17/(AA7-AA17)*AA36)</f>
        <v>0.65267838702794967</v>
      </c>
      <c r="AB35" s="592">
        <f>SUM(AC35:AF35)</f>
        <v>0.78141874651134979</v>
      </c>
      <c r="AC35" s="593">
        <f>IF((AC7-AC17)=0,0,AC17/(AC7-AC17)*AC36)</f>
        <v>0</v>
      </c>
      <c r="AD35" s="593">
        <f>IF((AD7-AD17)=0,0,AD17/(AD7-AD17)*AD36)</f>
        <v>0</v>
      </c>
      <c r="AE35" s="593">
        <f>IF((AE7-AE17)=0,0,AE17/(AE7-AE17)*AE36)</f>
        <v>0.11172563329879566</v>
      </c>
      <c r="AF35" s="594">
        <f>IF((AF7-AF17)=0,0,AF17/(AF7-AF17)*AF36)</f>
        <v>0.66969311321255409</v>
      </c>
    </row>
    <row r="36" spans="1:52" ht="13.5" thickBot="1">
      <c r="A36" s="193" t="s">
        <v>8</v>
      </c>
      <c r="B36" s="196" t="s">
        <v>13</v>
      </c>
      <c r="C36" s="643">
        <f>SUM(D36:G36)</f>
        <v>4.0681934897254042</v>
      </c>
      <c r="D36" s="596">
        <f>D29+D24+D20</f>
        <v>0</v>
      </c>
      <c r="E36" s="596">
        <f>E29+E24+E20</f>
        <v>0</v>
      </c>
      <c r="F36" s="648">
        <f>F29+F24+F20</f>
        <v>1.541189307146754</v>
      </c>
      <c r="G36" s="649">
        <f>G29+G24+G20</f>
        <v>2.5270041825786502</v>
      </c>
      <c r="H36" s="595">
        <f>SUM(I36:L36)</f>
        <v>4.1103636363636369</v>
      </c>
      <c r="I36" s="596">
        <f>I29+I24+I20</f>
        <v>0</v>
      </c>
      <c r="J36" s="596">
        <f>J29+J24+J20</f>
        <v>0</v>
      </c>
      <c r="K36" s="596">
        <f>K29+K24+K20</f>
        <v>1.4290909090909092</v>
      </c>
      <c r="L36" s="597">
        <f>L29+L24+L20</f>
        <v>2.6812727272727273</v>
      </c>
      <c r="M36" s="595">
        <f>SUM(N36:Q36)</f>
        <v>4.1189090909090913</v>
      </c>
      <c r="N36" s="596">
        <f>N29+N24+N20</f>
        <v>0</v>
      </c>
      <c r="O36" s="596">
        <f>O29+O24+O20</f>
        <v>0</v>
      </c>
      <c r="P36" s="596">
        <f>P29+P24+P20</f>
        <v>1.5370909090909091</v>
      </c>
      <c r="Q36" s="597">
        <f>Q29+Q24+Q20</f>
        <v>2.581818181818182</v>
      </c>
      <c r="R36" s="595">
        <f>SUM(S36:V36)</f>
        <v>4.194</v>
      </c>
      <c r="S36" s="596">
        <f>S29+S24+S20</f>
        <v>0</v>
      </c>
      <c r="T36" s="596">
        <f>T29+T24+T20</f>
        <v>0</v>
      </c>
      <c r="U36" s="596">
        <f>U29+U24+U20</f>
        <v>1.5888494032452731</v>
      </c>
      <c r="V36" s="597">
        <f>V29+V24+V20</f>
        <v>2.605150596754727</v>
      </c>
      <c r="W36" s="595">
        <f>SUM(X36:AA36)</f>
        <v>4.2609090909090899</v>
      </c>
      <c r="X36" s="596">
        <f>X29+X24+X20</f>
        <v>0</v>
      </c>
      <c r="Y36" s="596">
        <f>Y29+Y24+Y20</f>
        <v>0</v>
      </c>
      <c r="Z36" s="596">
        <f>Z29+Z24+Z20</f>
        <v>1.5920000000000001</v>
      </c>
      <c r="AA36" s="597">
        <f>AA29+AA24+AA20</f>
        <v>2.6689090909090898</v>
      </c>
      <c r="AB36" s="595">
        <f>SUM(AC36:AF36)</f>
        <v>4.2354909090909096</v>
      </c>
      <c r="AC36" s="596">
        <f>AC29+AC24+AC20</f>
        <v>0</v>
      </c>
      <c r="AD36" s="596">
        <f>AD29+AD24+AD20</f>
        <v>0</v>
      </c>
      <c r="AE36" s="596">
        <f>AE29+AE24+AE20</f>
        <v>1.4970000000000001</v>
      </c>
      <c r="AF36" s="597">
        <f>AF29+AF24+AF20</f>
        <v>2.7384909090909093</v>
      </c>
    </row>
    <row r="37" spans="1:52">
      <c r="A37" s="84"/>
      <c r="B37" s="90"/>
      <c r="C37" s="84"/>
      <c r="D37" s="84"/>
      <c r="E37" s="84"/>
      <c r="F37" s="84"/>
      <c r="G37" s="84"/>
      <c r="H37" s="84"/>
      <c r="I37" s="84"/>
      <c r="J37" s="84"/>
      <c r="K37" s="84"/>
      <c r="M37" s="84"/>
      <c r="N37" s="84"/>
      <c r="O37" s="84"/>
      <c r="P37" s="84"/>
    </row>
    <row r="40" spans="1:52" s="342" customFormat="1">
      <c r="A40" s="271"/>
      <c r="B40" s="348" t="s">
        <v>504</v>
      </c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</row>
    <row r="41" spans="1:52" s="342" customFormat="1">
      <c r="A41" s="371" t="s">
        <v>268</v>
      </c>
      <c r="B41" s="372" t="s">
        <v>494</v>
      </c>
      <c r="C41" s="349" t="s">
        <v>400</v>
      </c>
      <c r="D41" s="349" t="s">
        <v>384</v>
      </c>
      <c r="E41" s="349" t="s">
        <v>394</v>
      </c>
      <c r="F41" s="349" t="s">
        <v>395</v>
      </c>
      <c r="G41" s="349" t="s">
        <v>401</v>
      </c>
      <c r="H41" s="349" t="s">
        <v>400</v>
      </c>
      <c r="I41" s="349" t="s">
        <v>384</v>
      </c>
      <c r="J41" s="349" t="s">
        <v>394</v>
      </c>
      <c r="K41" s="349" t="s">
        <v>395</v>
      </c>
      <c r="L41" s="349" t="s">
        <v>401</v>
      </c>
      <c r="M41" s="349" t="s">
        <v>400</v>
      </c>
      <c r="N41" s="349" t="s">
        <v>384</v>
      </c>
      <c r="O41" s="349" t="s">
        <v>394</v>
      </c>
      <c r="P41" s="349" t="s">
        <v>395</v>
      </c>
      <c r="Q41" s="349" t="s">
        <v>401</v>
      </c>
      <c r="R41" s="349" t="s">
        <v>400</v>
      </c>
      <c r="S41" s="349" t="s">
        <v>384</v>
      </c>
      <c r="T41" s="349" t="s">
        <v>394</v>
      </c>
      <c r="U41" s="349" t="s">
        <v>395</v>
      </c>
      <c r="V41" s="349" t="s">
        <v>401</v>
      </c>
      <c r="W41" s="349" t="s">
        <v>400</v>
      </c>
      <c r="X41" s="349" t="s">
        <v>384</v>
      </c>
      <c r="Y41" s="349" t="s">
        <v>394</v>
      </c>
      <c r="Z41" s="349" t="s">
        <v>395</v>
      </c>
      <c r="AA41" s="349" t="s">
        <v>401</v>
      </c>
      <c r="AB41" s="349" t="s">
        <v>400</v>
      </c>
      <c r="AC41" s="349" t="s">
        <v>384</v>
      </c>
      <c r="AD41" s="349" t="s">
        <v>394</v>
      </c>
      <c r="AE41" s="349" t="s">
        <v>395</v>
      </c>
      <c r="AF41" s="349" t="s">
        <v>401</v>
      </c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</row>
    <row r="42" spans="1:52" s="342" customFormat="1">
      <c r="A42" s="272"/>
      <c r="B42" s="272" t="str">
        <f>'1.4'!B41</f>
        <v>Центральный филиал ООО "Газпром энерго"</v>
      </c>
      <c r="C42" s="344">
        <v>0.29199999999999998</v>
      </c>
      <c r="D42" s="345"/>
      <c r="E42" s="855">
        <f>'1.4'!E41/5499</f>
        <v>0.38588834333515187</v>
      </c>
      <c r="F42" s="855"/>
      <c r="G42" s="855"/>
      <c r="H42" s="854">
        <v>0.4</v>
      </c>
      <c r="I42" s="855"/>
      <c r="J42" s="855">
        <f>'1.4'!J41/5499</f>
        <v>0.41134751773049644</v>
      </c>
      <c r="K42" s="855"/>
      <c r="L42" s="855"/>
      <c r="M42" s="854">
        <v>0.4</v>
      </c>
      <c r="N42" s="855"/>
      <c r="O42" s="855">
        <f>'1.4'!O41/5499</f>
        <v>0.39199854519003463</v>
      </c>
      <c r="P42" s="855"/>
      <c r="Q42" s="855"/>
      <c r="R42" s="854">
        <v>0.4</v>
      </c>
      <c r="S42" s="855"/>
      <c r="T42" s="855">
        <f>'1.4'!T41/5499</f>
        <v>0.38607019458083286</v>
      </c>
      <c r="U42" s="855"/>
      <c r="V42" s="345"/>
      <c r="W42" s="854">
        <v>0.4</v>
      </c>
      <c r="X42" s="855"/>
      <c r="Y42" s="855">
        <f>'1.4'!Y41/5500</f>
        <v>0.39218181818181819</v>
      </c>
      <c r="Z42" s="855"/>
      <c r="AA42" s="345"/>
      <c r="AB42" s="854">
        <v>0.4</v>
      </c>
      <c r="AC42" s="855"/>
      <c r="AD42" s="855">
        <f>'1.4'!AD41/5500</f>
        <v>0.39219999999999999</v>
      </c>
      <c r="AE42" s="855"/>
      <c r="AF42" s="345"/>
      <c r="AG42" s="357"/>
      <c r="AH42" s="357"/>
      <c r="AI42" s="357"/>
      <c r="AJ42" s="357"/>
      <c r="AK42" s="357"/>
      <c r="AL42" s="357"/>
      <c r="AM42" s="357"/>
      <c r="AN42" s="357"/>
      <c r="AO42" s="357"/>
      <c r="AP42" s="357"/>
      <c r="AQ42" s="357"/>
      <c r="AR42" s="357"/>
      <c r="AS42" s="357"/>
      <c r="AT42" s="357"/>
      <c r="AU42" s="357"/>
      <c r="AV42" s="357"/>
      <c r="AW42" s="357"/>
      <c r="AX42" s="357"/>
      <c r="AY42" s="357"/>
      <c r="AZ42" s="357"/>
    </row>
    <row r="43" spans="1:52" s="342" customFormat="1">
      <c r="A43" s="272"/>
      <c r="B43" s="272" t="str">
        <f>'1.4'!B42</f>
        <v>АО "РОЭК" Центральный исполнительный аппарат</v>
      </c>
      <c r="C43" s="344">
        <v>1.3859999999999999</v>
      </c>
      <c r="D43" s="345"/>
      <c r="E43" s="855"/>
      <c r="F43" s="855">
        <f>'1.4'!F42/5499</f>
        <v>0.47954173486088381</v>
      </c>
      <c r="G43" s="855"/>
      <c r="H43" s="854">
        <v>1</v>
      </c>
      <c r="I43" s="855"/>
      <c r="J43" s="855"/>
      <c r="K43" s="855">
        <f>'1.4'!K42/5499</f>
        <v>0.3307874158937989</v>
      </c>
      <c r="L43" s="855"/>
      <c r="M43" s="854">
        <v>1</v>
      </c>
      <c r="N43" s="855"/>
      <c r="O43" s="855"/>
      <c r="P43" s="855">
        <f>'1.4'!P42/5499</f>
        <v>0.44102564102564101</v>
      </c>
      <c r="Q43" s="855"/>
      <c r="R43" s="854">
        <v>1</v>
      </c>
      <c r="S43" s="855"/>
      <c r="T43" s="855"/>
      <c r="U43" s="855">
        <f>'1.4'!U42/5499</f>
        <v>0.47954173486088381</v>
      </c>
      <c r="V43" s="345"/>
      <c r="W43" s="854">
        <v>1</v>
      </c>
      <c r="X43" s="855"/>
      <c r="Y43" s="855"/>
      <c r="Z43" s="855">
        <f>'1.4'!Z42/5500</f>
        <v>0.51527272727272733</v>
      </c>
      <c r="AA43" s="345"/>
      <c r="AB43" s="854">
        <v>1</v>
      </c>
      <c r="AC43" s="855">
        <f>'1.4'!AC42/5500</f>
        <v>0.4412545454545454</v>
      </c>
      <c r="AD43" s="855"/>
      <c r="AE43" s="855"/>
      <c r="AF43" s="855"/>
      <c r="AG43" s="357"/>
      <c r="AH43" s="357"/>
      <c r="AI43" s="357"/>
      <c r="AJ43" s="357"/>
      <c r="AK43" s="357"/>
      <c r="AL43" s="357"/>
      <c r="AM43" s="357"/>
      <c r="AN43" s="357"/>
      <c r="AO43" s="357"/>
      <c r="AP43" s="357"/>
      <c r="AQ43" s="357"/>
      <c r="AR43" s="357"/>
      <c r="AS43" s="357"/>
      <c r="AT43" s="357"/>
      <c r="AU43" s="357"/>
      <c r="AV43" s="357"/>
      <c r="AW43" s="357"/>
      <c r="AX43" s="357"/>
      <c r="AY43" s="357"/>
      <c r="AZ43" s="357"/>
    </row>
    <row r="44" spans="1:52" s="342" customFormat="1">
      <c r="A44" s="272"/>
      <c r="B44" s="272" t="str">
        <f>'1.4'!B43</f>
        <v>Московская дирек-ция по энергообес-печению Транс-энерго - филиал ОАО "РЖД"</v>
      </c>
      <c r="C44" s="344">
        <v>0.45500000000000002</v>
      </c>
      <c r="D44" s="345"/>
      <c r="E44" s="855"/>
      <c r="F44" s="855">
        <f>'1.4'!F44/5499</f>
        <v>0.18439716312056736</v>
      </c>
      <c r="G44" s="855"/>
      <c r="H44" s="854">
        <v>0.4</v>
      </c>
      <c r="I44" s="855"/>
      <c r="J44" s="855"/>
      <c r="K44" s="855">
        <f>'1.4'!K44/5499</f>
        <v>9.6926713947990545E-2</v>
      </c>
      <c r="L44" s="855"/>
      <c r="M44" s="854">
        <v>0.4</v>
      </c>
      <c r="N44" s="855"/>
      <c r="O44" s="855"/>
      <c r="P44" s="855">
        <f>'1.4'!P44/5499</f>
        <v>0</v>
      </c>
      <c r="Q44" s="855"/>
      <c r="R44" s="854">
        <v>0.45</v>
      </c>
      <c r="S44" s="855"/>
      <c r="T44" s="855"/>
      <c r="U44" s="855">
        <f>'1.4'!U44/5499</f>
        <v>0.18439716312056736</v>
      </c>
      <c r="V44" s="345"/>
      <c r="W44" s="854">
        <v>0.45</v>
      </c>
      <c r="X44" s="855"/>
      <c r="Y44" s="855"/>
      <c r="Z44" s="855">
        <f>'1.4'!Z44/5500</f>
        <v>4.6545454545454543E-2</v>
      </c>
      <c r="AA44" s="345"/>
      <c r="AB44" s="854">
        <v>0.45</v>
      </c>
      <c r="AC44" s="855"/>
      <c r="AD44" s="855">
        <f>'1.4'!AD43/5500</f>
        <v>3.7999999999999999E-2</v>
      </c>
      <c r="AE44" s="855"/>
      <c r="AF44" s="855"/>
      <c r="AG44" s="357"/>
      <c r="AH44" s="357"/>
      <c r="AI44" s="357"/>
      <c r="AJ44" s="357"/>
      <c r="AK44" s="357"/>
      <c r="AL44" s="357"/>
      <c r="AM44" s="357"/>
      <c r="AN44" s="357"/>
      <c r="AO44" s="357"/>
      <c r="AP44" s="357"/>
      <c r="AQ44" s="357"/>
      <c r="AR44" s="357"/>
      <c r="AS44" s="357"/>
      <c r="AT44" s="357"/>
      <c r="AU44" s="357"/>
      <c r="AV44" s="357"/>
      <c r="AW44" s="357"/>
      <c r="AX44" s="357"/>
      <c r="AY44" s="357"/>
      <c r="AZ44" s="357"/>
    </row>
    <row r="45" spans="1:52" s="342" customFormat="1">
      <c r="A45" s="373"/>
      <c r="B45" s="272" t="str">
        <f>'1.4'!B44</f>
        <v>Прочие</v>
      </c>
      <c r="C45" s="344">
        <v>0.63400000000000001</v>
      </c>
      <c r="D45" s="345"/>
      <c r="E45" s="345"/>
      <c r="F45" s="345"/>
      <c r="G45" s="345"/>
      <c r="H45" s="344">
        <v>0.7</v>
      </c>
      <c r="I45" s="345"/>
      <c r="J45" s="345"/>
      <c r="K45" s="345"/>
      <c r="L45" s="345"/>
      <c r="M45" s="344">
        <v>0.7</v>
      </c>
      <c r="N45" s="345"/>
      <c r="O45" s="345"/>
      <c r="P45" s="345"/>
      <c r="Q45" s="345"/>
      <c r="R45" s="344">
        <v>0.6</v>
      </c>
      <c r="S45" s="345"/>
      <c r="T45" s="345"/>
      <c r="U45" s="345"/>
      <c r="V45" s="345"/>
      <c r="W45" s="344">
        <v>0.6</v>
      </c>
      <c r="X45" s="345"/>
      <c r="Y45" s="345"/>
      <c r="Z45" s="345"/>
      <c r="AA45" s="345"/>
      <c r="AB45" s="344">
        <v>0.6</v>
      </c>
      <c r="AC45" s="855"/>
      <c r="AD45" s="855"/>
      <c r="AE45" s="855">
        <f>'1.4'!AE44/5500</f>
        <v>5.2054545454545458E-2</v>
      </c>
      <c r="AF45" s="855"/>
      <c r="AG45" s="357"/>
      <c r="AH45" s="357"/>
      <c r="AI45" s="357"/>
      <c r="AJ45" s="357"/>
      <c r="AK45" s="357"/>
      <c r="AL45" s="357"/>
      <c r="AM45" s="357"/>
      <c r="AN45" s="357"/>
      <c r="AO45" s="357"/>
      <c r="AP45" s="357"/>
      <c r="AQ45" s="357"/>
      <c r="AR45" s="357"/>
      <c r="AS45" s="357"/>
      <c r="AT45" s="357"/>
      <c r="AU45" s="357"/>
      <c r="AV45" s="357"/>
      <c r="AW45" s="357"/>
      <c r="AX45" s="357"/>
      <c r="AY45" s="357"/>
      <c r="AZ45" s="357"/>
    </row>
    <row r="46" spans="1:52" s="342" customFormat="1">
      <c r="A46" s="373"/>
      <c r="B46" s="272" t="str">
        <f>'1.4'!B45</f>
        <v>Итого</v>
      </c>
      <c r="C46" s="344">
        <v>0.14000000000000001</v>
      </c>
      <c r="D46" s="345"/>
      <c r="E46" s="345"/>
      <c r="F46" s="345"/>
      <c r="G46" s="345"/>
      <c r="H46" s="344">
        <v>0.1</v>
      </c>
      <c r="I46" s="345"/>
      <c r="J46" s="345"/>
      <c r="K46" s="345"/>
      <c r="L46" s="345"/>
      <c r="M46" s="344">
        <v>0.1</v>
      </c>
      <c r="N46" s="345"/>
      <c r="O46" s="345"/>
      <c r="P46" s="345"/>
      <c r="Q46" s="345"/>
      <c r="R46" s="344">
        <v>0.2</v>
      </c>
      <c r="S46" s="345"/>
      <c r="T46" s="345"/>
      <c r="U46" s="345"/>
      <c r="V46" s="345"/>
      <c r="W46" s="344">
        <v>0.2</v>
      </c>
      <c r="X46" s="345"/>
      <c r="Y46" s="345"/>
      <c r="Z46" s="345"/>
      <c r="AA46" s="345"/>
      <c r="AB46" s="344">
        <v>0.2</v>
      </c>
      <c r="AC46" s="855">
        <f>'1.4'!AC45/5500</f>
        <v>0.4412545454545454</v>
      </c>
      <c r="AD46" s="855">
        <f>'1.4'!AD45/5500</f>
        <v>0.43019999999999997</v>
      </c>
      <c r="AE46" s="855">
        <f>'1.4'!AE45/5500</f>
        <v>5.2054545454545458E-2</v>
      </c>
      <c r="AF46" s="855"/>
      <c r="AG46" s="357"/>
      <c r="AH46" s="357"/>
      <c r="AI46" s="357"/>
      <c r="AJ46" s="357"/>
      <c r="AK46" s="357"/>
      <c r="AL46" s="357"/>
      <c r="AM46" s="357"/>
      <c r="AN46" s="357"/>
      <c r="AO46" s="357"/>
      <c r="AP46" s="357"/>
      <c r="AQ46" s="357"/>
      <c r="AR46" s="357"/>
      <c r="AS46" s="357"/>
      <c r="AT46" s="357"/>
      <c r="AU46" s="357"/>
      <c r="AV46" s="357"/>
      <c r="AW46" s="357"/>
      <c r="AX46" s="357"/>
      <c r="AY46" s="357"/>
      <c r="AZ46" s="357"/>
    </row>
    <row r="47" spans="1:52" s="342" customFormat="1">
      <c r="A47" s="373"/>
      <c r="B47" s="272"/>
      <c r="C47" s="344">
        <v>1</v>
      </c>
      <c r="D47" s="345"/>
      <c r="E47" s="345"/>
      <c r="F47" s="345"/>
      <c r="G47" s="345"/>
      <c r="H47" s="344">
        <v>1.39</v>
      </c>
      <c r="I47" s="345"/>
      <c r="J47" s="345"/>
      <c r="K47" s="345"/>
      <c r="L47" s="345"/>
      <c r="M47" s="344">
        <v>1.39</v>
      </c>
      <c r="N47" s="345"/>
      <c r="O47" s="345"/>
      <c r="P47" s="345"/>
      <c r="Q47" s="345"/>
      <c r="R47" s="344">
        <v>1.38</v>
      </c>
      <c r="S47" s="345"/>
      <c r="T47" s="345"/>
      <c r="U47" s="345"/>
      <c r="V47" s="345"/>
      <c r="W47" s="344">
        <v>1.38</v>
      </c>
      <c r="X47" s="345"/>
      <c r="Y47" s="345"/>
      <c r="Z47" s="345"/>
      <c r="AA47" s="345"/>
      <c r="AB47" s="344"/>
      <c r="AC47" s="855"/>
      <c r="AD47" s="855"/>
      <c r="AE47" s="855"/>
      <c r="AF47" s="855"/>
      <c r="AG47" s="357"/>
      <c r="AH47" s="357"/>
      <c r="AI47" s="357"/>
      <c r="AJ47" s="357"/>
      <c r="AK47" s="357"/>
      <c r="AL47" s="357"/>
      <c r="AM47" s="357"/>
      <c r="AN47" s="357"/>
      <c r="AO47" s="357"/>
      <c r="AP47" s="357"/>
      <c r="AQ47" s="357"/>
      <c r="AR47" s="357"/>
      <c r="AS47" s="357"/>
      <c r="AT47" s="357"/>
      <c r="AU47" s="357"/>
      <c r="AV47" s="357"/>
      <c r="AW47" s="357"/>
      <c r="AX47" s="357"/>
      <c r="AY47" s="357"/>
      <c r="AZ47" s="357"/>
    </row>
    <row r="48" spans="1:52" s="342" customFormat="1">
      <c r="A48" s="373"/>
      <c r="B48" s="272"/>
      <c r="C48" s="344">
        <v>4.1920000000000002</v>
      </c>
      <c r="D48" s="345"/>
      <c r="E48" s="345"/>
      <c r="F48" s="345"/>
      <c r="G48" s="345"/>
      <c r="H48" s="344">
        <v>3.4</v>
      </c>
      <c r="I48" s="345"/>
      <c r="J48" s="345"/>
      <c r="K48" s="345"/>
      <c r="L48" s="345"/>
      <c r="M48" s="344">
        <v>3.4</v>
      </c>
      <c r="N48" s="345"/>
      <c r="O48" s="345"/>
      <c r="P48" s="345"/>
      <c r="Q48" s="345"/>
      <c r="R48" s="344">
        <v>3.1</v>
      </c>
      <c r="S48" s="345"/>
      <c r="T48" s="345"/>
      <c r="U48" s="345"/>
      <c r="V48" s="345"/>
      <c r="W48" s="344">
        <v>3.1</v>
      </c>
      <c r="X48" s="345"/>
      <c r="Y48" s="345"/>
      <c r="Z48" s="345"/>
      <c r="AA48" s="345"/>
      <c r="AB48" s="344"/>
      <c r="AC48" s="855"/>
      <c r="AD48" s="855"/>
      <c r="AE48" s="855"/>
      <c r="AF48" s="855"/>
      <c r="AG48" s="357"/>
      <c r="AH48" s="357"/>
      <c r="AI48" s="357"/>
      <c r="AJ48" s="357"/>
      <c r="AK48" s="357"/>
      <c r="AL48" s="357"/>
      <c r="AM48" s="357"/>
      <c r="AN48" s="357"/>
      <c r="AO48" s="357"/>
      <c r="AP48" s="357"/>
      <c r="AQ48" s="357"/>
      <c r="AR48" s="357"/>
      <c r="AS48" s="357"/>
      <c r="AT48" s="357"/>
      <c r="AU48" s="357"/>
      <c r="AV48" s="357"/>
      <c r="AW48" s="357"/>
      <c r="AX48" s="357"/>
      <c r="AY48" s="357"/>
      <c r="AZ48" s="357"/>
    </row>
    <row r="49" spans="1:52" s="342" customFormat="1">
      <c r="A49" s="375"/>
      <c r="B49" s="376" t="s">
        <v>383</v>
      </c>
      <c r="C49" s="362">
        <f>SUM(C42:C48)</f>
        <v>8.0990000000000002</v>
      </c>
      <c r="D49" s="362">
        <f>SUM(D42:D44)</f>
        <v>0</v>
      </c>
      <c r="E49" s="362">
        <f>SUM(E42:E44)</f>
        <v>0.38588834333515187</v>
      </c>
      <c r="F49" s="362">
        <f>SUM(F42:F44)</f>
        <v>0.66393889798145111</v>
      </c>
      <c r="G49" s="362">
        <f>SUM(G42:G44)</f>
        <v>0</v>
      </c>
      <c r="H49" s="362">
        <f>SUM(H42:H48)</f>
        <v>7.3900000000000006</v>
      </c>
      <c r="I49" s="362">
        <f>SUM(I42:I44)</f>
        <v>0</v>
      </c>
      <c r="J49" s="362">
        <f>SUM(J42:J44)</f>
        <v>0.41134751773049644</v>
      </c>
      <c r="K49" s="362">
        <f>SUM(K42:K44)</f>
        <v>0.42771412984178947</v>
      </c>
      <c r="L49" s="362">
        <f>SUM(L42:L44)</f>
        <v>0</v>
      </c>
      <c r="M49" s="362">
        <f>SUM(M42:M48)</f>
        <v>7.3900000000000006</v>
      </c>
      <c r="N49" s="362">
        <f>SUM(N42:N44)</f>
        <v>0</v>
      </c>
      <c r="O49" s="362">
        <f>SUM(O42:O44)</f>
        <v>0.39199854519003463</v>
      </c>
      <c r="P49" s="362">
        <f>SUM(P42:P44)</f>
        <v>0.44102564102564101</v>
      </c>
      <c r="Q49" s="362">
        <f>SUM(Q42:Q44)</f>
        <v>0</v>
      </c>
      <c r="R49" s="362">
        <f>SUM(R42:R48)</f>
        <v>7.129999999999999</v>
      </c>
      <c r="S49" s="362">
        <f>SUM(S42:S44)</f>
        <v>0</v>
      </c>
      <c r="T49" s="362">
        <f>SUM(T42:T44)</f>
        <v>0.38607019458083286</v>
      </c>
      <c r="U49" s="362">
        <f>SUM(U42:U44)</f>
        <v>0.66393889798145111</v>
      </c>
      <c r="V49" s="362">
        <f>SUM(V42:V44)</f>
        <v>0</v>
      </c>
      <c r="W49" s="362">
        <f>SUM(W42:W48)</f>
        <v>7.129999999999999</v>
      </c>
      <c r="X49" s="362">
        <f>SUM(X42:X44)</f>
        <v>0</v>
      </c>
      <c r="Y49" s="362">
        <f>SUM(Y42:Y44)</f>
        <v>0.39218181818181819</v>
      </c>
      <c r="Z49" s="362">
        <f>SUM(Z42:Z44)</f>
        <v>0.56181818181818188</v>
      </c>
      <c r="AA49" s="362">
        <f>SUM(AA42:AA44)</f>
        <v>0</v>
      </c>
      <c r="AB49" s="362"/>
      <c r="AC49" s="362">
        <f>SUM(AC42:AC44)</f>
        <v>0.4412545454545454</v>
      </c>
      <c r="AD49" s="362">
        <f>SUM(AD42:AD44)</f>
        <v>0.43019999999999997</v>
      </c>
      <c r="AE49" s="362">
        <f>SUM(AE42:AE44)</f>
        <v>0</v>
      </c>
      <c r="AF49" s="362">
        <f>SUM(AF42:AF44)</f>
        <v>0</v>
      </c>
      <c r="AG49" s="358"/>
      <c r="AH49" s="358"/>
      <c r="AI49" s="358"/>
      <c r="AJ49" s="358"/>
      <c r="AK49" s="358"/>
      <c r="AL49" s="358"/>
      <c r="AM49" s="358"/>
      <c r="AN49" s="358"/>
      <c r="AO49" s="358"/>
      <c r="AP49" s="358"/>
      <c r="AQ49" s="358"/>
      <c r="AR49" s="358"/>
      <c r="AS49" s="358"/>
      <c r="AT49" s="358"/>
      <c r="AU49" s="358"/>
      <c r="AV49" s="358"/>
      <c r="AW49" s="358"/>
      <c r="AX49" s="358"/>
      <c r="AY49" s="358"/>
      <c r="AZ49" s="358"/>
    </row>
    <row r="50" spans="1:52" s="342" customFormat="1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370"/>
      <c r="W50" s="271"/>
      <c r="X50" s="271"/>
      <c r="Y50" s="271"/>
      <c r="Z50" s="271"/>
      <c r="AA50" s="370"/>
      <c r="AB50" s="271"/>
      <c r="AC50" s="271"/>
      <c r="AD50" s="271"/>
      <c r="AE50" s="271"/>
      <c r="AF50" s="370"/>
      <c r="AG50" s="359"/>
      <c r="AH50" s="359"/>
      <c r="AI50" s="359"/>
      <c r="AJ50" s="359"/>
      <c r="AK50" s="359"/>
      <c r="AL50" s="359"/>
      <c r="AM50" s="359"/>
      <c r="AN50" s="359"/>
      <c r="AO50" s="359"/>
      <c r="AP50" s="359"/>
      <c r="AQ50" s="359"/>
      <c r="AR50" s="359"/>
      <c r="AS50" s="359"/>
      <c r="AT50" s="359"/>
      <c r="AU50" s="359"/>
      <c r="AV50" s="359"/>
      <c r="AW50" s="359"/>
      <c r="AX50" s="359"/>
      <c r="AY50" s="359"/>
      <c r="AZ50" s="359"/>
    </row>
    <row r="51" spans="1:52" s="342" customFormat="1">
      <c r="A51" s="271"/>
      <c r="B51" s="348" t="s">
        <v>505</v>
      </c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377"/>
      <c r="W51" s="271"/>
      <c r="X51" s="271"/>
      <c r="Y51" s="271"/>
      <c r="Z51" s="271"/>
      <c r="AA51" s="377"/>
      <c r="AB51" s="271"/>
      <c r="AC51" s="271"/>
      <c r="AD51" s="271"/>
      <c r="AE51" s="271"/>
      <c r="AF51" s="377"/>
      <c r="AG51" s="359"/>
      <c r="AH51" s="359"/>
      <c r="AI51" s="359"/>
      <c r="AJ51" s="359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  <c r="AW51" s="359"/>
      <c r="AX51" s="359"/>
      <c r="AY51" s="359"/>
      <c r="AZ51" s="359"/>
    </row>
    <row r="52" spans="1:52" s="342" customFormat="1">
      <c r="A52" s="371" t="s">
        <v>268</v>
      </c>
      <c r="B52" s="372" t="s">
        <v>494</v>
      </c>
      <c r="C52" s="349" t="s">
        <v>400</v>
      </c>
      <c r="D52" s="349" t="s">
        <v>384</v>
      </c>
      <c r="E52" s="349" t="s">
        <v>394</v>
      </c>
      <c r="F52" s="349" t="s">
        <v>395</v>
      </c>
      <c r="G52" s="349" t="s">
        <v>401</v>
      </c>
      <c r="H52" s="349" t="s">
        <v>400</v>
      </c>
      <c r="I52" s="349" t="s">
        <v>384</v>
      </c>
      <c r="J52" s="349" t="s">
        <v>394</v>
      </c>
      <c r="K52" s="349" t="s">
        <v>395</v>
      </c>
      <c r="L52" s="349" t="s">
        <v>401</v>
      </c>
      <c r="M52" s="349" t="s">
        <v>400</v>
      </c>
      <c r="N52" s="349" t="s">
        <v>384</v>
      </c>
      <c r="O52" s="349" t="s">
        <v>394</v>
      </c>
      <c r="P52" s="349" t="s">
        <v>395</v>
      </c>
      <c r="Q52" s="349" t="s">
        <v>401</v>
      </c>
      <c r="R52" s="349" t="s">
        <v>400</v>
      </c>
      <c r="S52" s="349" t="s">
        <v>384</v>
      </c>
      <c r="T52" s="349" t="s">
        <v>394</v>
      </c>
      <c r="U52" s="349" t="s">
        <v>395</v>
      </c>
      <c r="V52" s="349" t="s">
        <v>401</v>
      </c>
      <c r="W52" s="349" t="s">
        <v>400</v>
      </c>
      <c r="X52" s="349" t="s">
        <v>384</v>
      </c>
      <c r="Y52" s="349" t="s">
        <v>394</v>
      </c>
      <c r="Z52" s="349" t="s">
        <v>395</v>
      </c>
      <c r="AA52" s="349" t="s">
        <v>401</v>
      </c>
      <c r="AB52" s="349" t="s">
        <v>400</v>
      </c>
      <c r="AC52" s="349" t="s">
        <v>384</v>
      </c>
      <c r="AD52" s="349" t="s">
        <v>394</v>
      </c>
      <c r="AE52" s="349" t="s">
        <v>395</v>
      </c>
      <c r="AF52" s="349" t="s">
        <v>401</v>
      </c>
      <c r="AG52" s="356"/>
      <c r="AH52" s="356"/>
      <c r="AI52" s="356"/>
      <c r="AJ52" s="356"/>
      <c r="AK52" s="356"/>
      <c r="AL52" s="356"/>
      <c r="AM52" s="356"/>
      <c r="AN52" s="356"/>
      <c r="AO52" s="356"/>
      <c r="AP52" s="356"/>
      <c r="AQ52" s="356"/>
      <c r="AR52" s="356"/>
      <c r="AS52" s="356"/>
      <c r="AT52" s="356"/>
      <c r="AU52" s="356"/>
      <c r="AV52" s="356"/>
      <c r="AW52" s="356"/>
      <c r="AX52" s="356"/>
      <c r="AY52" s="356"/>
      <c r="AZ52" s="356"/>
    </row>
    <row r="53" spans="1:52" s="342" customFormat="1">
      <c r="A53" s="272"/>
      <c r="B53" s="351"/>
      <c r="C53" s="344">
        <f>SUM(D53:G53)</f>
        <v>0</v>
      </c>
      <c r="D53" s="345"/>
      <c r="E53" s="345"/>
      <c r="F53" s="345"/>
      <c r="G53" s="345"/>
      <c r="H53" s="344">
        <f>SUM(I53:L53)</f>
        <v>0</v>
      </c>
      <c r="I53" s="345"/>
      <c r="J53" s="345"/>
      <c r="K53" s="345"/>
      <c r="L53" s="345"/>
      <c r="M53" s="344">
        <f>SUM(N53:Q53)</f>
        <v>0</v>
      </c>
      <c r="N53" s="345"/>
      <c r="O53" s="345"/>
      <c r="P53" s="345"/>
      <c r="Q53" s="345"/>
      <c r="R53" s="344">
        <f>SUM(S53:V53)</f>
        <v>0</v>
      </c>
      <c r="S53" s="345"/>
      <c r="T53" s="345"/>
      <c r="U53" s="345"/>
      <c r="V53" s="345"/>
      <c r="W53" s="344">
        <f>SUM(X53:AA53)</f>
        <v>0</v>
      </c>
      <c r="X53" s="345"/>
      <c r="Y53" s="345"/>
      <c r="Z53" s="345"/>
      <c r="AA53" s="345"/>
      <c r="AB53" s="344">
        <f>SUM(AC53:AF53)</f>
        <v>0</v>
      </c>
      <c r="AC53" s="345"/>
      <c r="AD53" s="345"/>
      <c r="AE53" s="345"/>
      <c r="AF53" s="345"/>
      <c r="AG53" s="357"/>
      <c r="AH53" s="357"/>
      <c r="AI53" s="357"/>
      <c r="AJ53" s="357"/>
      <c r="AK53" s="357"/>
      <c r="AL53" s="357"/>
      <c r="AM53" s="357"/>
      <c r="AN53" s="357"/>
      <c r="AO53" s="357"/>
      <c r="AP53" s="357"/>
      <c r="AQ53" s="357"/>
      <c r="AR53" s="357"/>
      <c r="AS53" s="357"/>
      <c r="AT53" s="357"/>
      <c r="AU53" s="357"/>
      <c r="AV53" s="357"/>
      <c r="AW53" s="357"/>
      <c r="AX53" s="357"/>
      <c r="AY53" s="357"/>
      <c r="AZ53" s="357"/>
    </row>
    <row r="54" spans="1:52" s="342" customFormat="1">
      <c r="A54" s="272"/>
      <c r="B54" s="272"/>
      <c r="C54" s="344">
        <f>SUM(D54:G54)</f>
        <v>0</v>
      </c>
      <c r="D54" s="345"/>
      <c r="E54" s="345"/>
      <c r="F54" s="345"/>
      <c r="G54" s="345"/>
      <c r="H54" s="344">
        <f>SUM(I54:L54)</f>
        <v>0</v>
      </c>
      <c r="I54" s="345"/>
      <c r="J54" s="345"/>
      <c r="K54" s="345"/>
      <c r="L54" s="345"/>
      <c r="M54" s="344">
        <f>SUM(N54:Q54)</f>
        <v>0</v>
      </c>
      <c r="N54" s="345"/>
      <c r="O54" s="345"/>
      <c r="P54" s="345"/>
      <c r="Q54" s="345"/>
      <c r="R54" s="344">
        <f>SUM(S54:V54)</f>
        <v>0</v>
      </c>
      <c r="S54" s="345"/>
      <c r="T54" s="345"/>
      <c r="U54" s="345"/>
      <c r="V54" s="345"/>
      <c r="W54" s="344">
        <f>SUM(X54:AA54)</f>
        <v>0</v>
      </c>
      <c r="X54" s="345"/>
      <c r="Y54" s="345"/>
      <c r="Z54" s="345"/>
      <c r="AA54" s="345"/>
      <c r="AB54" s="344">
        <f>SUM(AC54:AF54)</f>
        <v>0</v>
      </c>
      <c r="AC54" s="345"/>
      <c r="AD54" s="345"/>
      <c r="AE54" s="345"/>
      <c r="AF54" s="345"/>
      <c r="AG54" s="357"/>
      <c r="AH54" s="357"/>
      <c r="AI54" s="357"/>
      <c r="AJ54" s="357"/>
      <c r="AK54" s="357"/>
      <c r="AL54" s="357"/>
      <c r="AM54" s="357"/>
      <c r="AN54" s="357"/>
      <c r="AO54" s="357"/>
      <c r="AP54" s="357"/>
      <c r="AQ54" s="357"/>
      <c r="AR54" s="357"/>
      <c r="AS54" s="357"/>
      <c r="AT54" s="357"/>
      <c r="AU54" s="357"/>
      <c r="AV54" s="357"/>
      <c r="AW54" s="357"/>
      <c r="AX54" s="357"/>
      <c r="AY54" s="357"/>
      <c r="AZ54" s="357"/>
    </row>
    <row r="55" spans="1:52" s="342" customFormat="1">
      <c r="A55" s="272"/>
      <c r="B55" s="272"/>
      <c r="C55" s="344">
        <f>SUM(D55:G55)</f>
        <v>0</v>
      </c>
      <c r="D55" s="345"/>
      <c r="E55" s="345"/>
      <c r="F55" s="345"/>
      <c r="G55" s="345"/>
      <c r="H55" s="344">
        <f>SUM(I55:L55)</f>
        <v>0</v>
      </c>
      <c r="I55" s="345"/>
      <c r="J55" s="345"/>
      <c r="K55" s="345"/>
      <c r="L55" s="345"/>
      <c r="M55" s="344">
        <f>SUM(N55:Q55)</f>
        <v>0</v>
      </c>
      <c r="N55" s="345"/>
      <c r="O55" s="345"/>
      <c r="P55" s="345"/>
      <c r="Q55" s="345"/>
      <c r="R55" s="344">
        <f>SUM(S55:V55)</f>
        <v>0</v>
      </c>
      <c r="S55" s="345"/>
      <c r="T55" s="345"/>
      <c r="U55" s="345"/>
      <c r="V55" s="345"/>
      <c r="W55" s="344">
        <f>SUM(X55:AA55)</f>
        <v>0</v>
      </c>
      <c r="X55" s="345"/>
      <c r="Y55" s="345"/>
      <c r="Z55" s="345"/>
      <c r="AA55" s="345"/>
      <c r="AB55" s="344">
        <f>SUM(AC55:AF55)</f>
        <v>0</v>
      </c>
      <c r="AC55" s="345"/>
      <c r="AD55" s="345"/>
      <c r="AE55" s="345"/>
      <c r="AF55" s="345"/>
      <c r="AG55" s="357"/>
      <c r="AH55" s="357"/>
      <c r="AI55" s="357"/>
      <c r="AJ55" s="357"/>
      <c r="AK55" s="357"/>
      <c r="AL55" s="357"/>
      <c r="AM55" s="357"/>
      <c r="AN55" s="357"/>
      <c r="AO55" s="357"/>
      <c r="AP55" s="357"/>
      <c r="AQ55" s="357"/>
      <c r="AR55" s="357"/>
      <c r="AS55" s="357"/>
      <c r="AT55" s="357"/>
      <c r="AU55" s="357"/>
      <c r="AV55" s="357"/>
      <c r="AW55" s="357"/>
      <c r="AX55" s="357"/>
      <c r="AY55" s="357"/>
      <c r="AZ55" s="357"/>
    </row>
    <row r="56" spans="1:52" s="342" customFormat="1">
      <c r="A56" s="373"/>
      <c r="B56" s="374"/>
      <c r="C56" s="365"/>
      <c r="D56" s="365"/>
      <c r="E56" s="365"/>
      <c r="F56" s="365"/>
      <c r="G56" s="365"/>
      <c r="H56" s="365"/>
      <c r="I56" s="365"/>
      <c r="J56" s="365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  <c r="W56" s="365"/>
      <c r="X56" s="365"/>
      <c r="Y56" s="365"/>
      <c r="Z56" s="365"/>
      <c r="AA56" s="365"/>
      <c r="AB56" s="365"/>
      <c r="AC56" s="365"/>
      <c r="AD56" s="365"/>
      <c r="AE56" s="365"/>
      <c r="AF56" s="365"/>
      <c r="AG56" s="357"/>
      <c r="AH56" s="357"/>
      <c r="AI56" s="357"/>
      <c r="AJ56" s="357"/>
      <c r="AK56" s="357"/>
      <c r="AL56" s="357"/>
      <c r="AM56" s="357"/>
      <c r="AN56" s="357"/>
      <c r="AO56" s="357"/>
      <c r="AP56" s="357"/>
      <c r="AQ56" s="357"/>
      <c r="AR56" s="357"/>
      <c r="AS56" s="357"/>
      <c r="AT56" s="357"/>
      <c r="AU56" s="357"/>
      <c r="AV56" s="357"/>
      <c r="AW56" s="357"/>
      <c r="AX56" s="357"/>
      <c r="AY56" s="357"/>
      <c r="AZ56" s="357"/>
    </row>
    <row r="57" spans="1:52" s="342" customFormat="1">
      <c r="A57" s="375"/>
      <c r="B57" s="376" t="s">
        <v>383</v>
      </c>
      <c r="C57" s="344">
        <f>SUM(C53:C55)</f>
        <v>0</v>
      </c>
      <c r="D57" s="344">
        <f>SUM(D53:D55)</f>
        <v>0</v>
      </c>
      <c r="E57" s="344">
        <f>SUM(E53:E55)</f>
        <v>0</v>
      </c>
      <c r="F57" s="344">
        <f>SUM(F53:F55)</f>
        <v>0</v>
      </c>
      <c r="G57" s="344">
        <f>SUM(G53:G55)</f>
        <v>0</v>
      </c>
      <c r="H57" s="344">
        <f t="shared" ref="H57:V57" si="12">SUM(H53:H55)</f>
        <v>0</v>
      </c>
      <c r="I57" s="344">
        <f t="shared" si="12"/>
        <v>0</v>
      </c>
      <c r="J57" s="344">
        <f t="shared" si="12"/>
        <v>0</v>
      </c>
      <c r="K57" s="344">
        <f t="shared" si="12"/>
        <v>0</v>
      </c>
      <c r="L57" s="344">
        <f t="shared" si="12"/>
        <v>0</v>
      </c>
      <c r="M57" s="344">
        <f>SUM(M53:M55)</f>
        <v>0</v>
      </c>
      <c r="N57" s="344">
        <f>SUM(N53:N55)</f>
        <v>0</v>
      </c>
      <c r="O57" s="344">
        <f>SUM(O53:O55)</f>
        <v>0</v>
      </c>
      <c r="P57" s="344">
        <f>SUM(P53:P55)</f>
        <v>0</v>
      </c>
      <c r="Q57" s="344">
        <f>SUM(Q53:Q55)</f>
        <v>0</v>
      </c>
      <c r="R57" s="344">
        <f t="shared" si="12"/>
        <v>0</v>
      </c>
      <c r="S57" s="344">
        <f t="shared" si="12"/>
        <v>0</v>
      </c>
      <c r="T57" s="344">
        <f t="shared" si="12"/>
        <v>0</v>
      </c>
      <c r="U57" s="344">
        <f t="shared" si="12"/>
        <v>0</v>
      </c>
      <c r="V57" s="344">
        <f t="shared" si="12"/>
        <v>0</v>
      </c>
      <c r="W57" s="344">
        <f t="shared" ref="W57:AF57" si="13">SUM(W53:W55)</f>
        <v>0</v>
      </c>
      <c r="X57" s="344">
        <f t="shared" si="13"/>
        <v>0</v>
      </c>
      <c r="Y57" s="344">
        <f t="shared" si="13"/>
        <v>0</v>
      </c>
      <c r="Z57" s="344">
        <f t="shared" si="13"/>
        <v>0</v>
      </c>
      <c r="AA57" s="344">
        <f t="shared" si="13"/>
        <v>0</v>
      </c>
      <c r="AB57" s="344">
        <f t="shared" si="13"/>
        <v>0</v>
      </c>
      <c r="AC57" s="344">
        <f t="shared" si="13"/>
        <v>0</v>
      </c>
      <c r="AD57" s="344">
        <f t="shared" si="13"/>
        <v>0</v>
      </c>
      <c r="AE57" s="344">
        <f t="shared" si="13"/>
        <v>0</v>
      </c>
      <c r="AF57" s="344">
        <f t="shared" si="13"/>
        <v>0</v>
      </c>
      <c r="AG57" s="357"/>
      <c r="AH57" s="357"/>
      <c r="AI57" s="357"/>
      <c r="AJ57" s="357"/>
      <c r="AK57" s="357"/>
      <c r="AL57" s="357"/>
      <c r="AM57" s="357"/>
      <c r="AN57" s="357"/>
      <c r="AO57" s="357"/>
      <c r="AP57" s="357"/>
      <c r="AQ57" s="357"/>
      <c r="AR57" s="357"/>
      <c r="AS57" s="357"/>
      <c r="AT57" s="357"/>
      <c r="AU57" s="357"/>
      <c r="AV57" s="357"/>
      <c r="AW57" s="357"/>
      <c r="AX57" s="357"/>
      <c r="AY57" s="357"/>
      <c r="AZ57" s="357"/>
    </row>
    <row r="58" spans="1:52" s="342" customFormat="1">
      <c r="A58" s="1752" t="s">
        <v>593</v>
      </c>
      <c r="B58" s="1642"/>
      <c r="C58" s="1642"/>
      <c r="D58" s="1642"/>
      <c r="E58" s="1642"/>
      <c r="F58" s="1642"/>
      <c r="G58" s="1642"/>
      <c r="H58" s="1642"/>
      <c r="I58" s="1642"/>
      <c r="J58" s="1642"/>
      <c r="K58" s="1642"/>
      <c r="L58" s="1642"/>
      <c r="M58" s="1642"/>
      <c r="N58" s="1642"/>
      <c r="O58" s="1642"/>
      <c r="P58" s="1642"/>
      <c r="Q58" s="1642"/>
      <c r="R58" s="1642"/>
      <c r="S58" s="1642"/>
      <c r="T58" s="1642"/>
      <c r="U58" s="1642"/>
      <c r="V58" s="1753"/>
      <c r="W58" s="359"/>
      <c r="X58" s="359"/>
      <c r="Y58" s="359"/>
      <c r="Z58" s="359"/>
      <c r="AA58" s="359"/>
      <c r="AB58" s="359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59"/>
      <c r="AN58" s="359"/>
      <c r="AO58" s="359"/>
      <c r="AP58" s="359"/>
      <c r="AQ58" s="359"/>
      <c r="AR58" s="359"/>
      <c r="AS58" s="359"/>
      <c r="AT58" s="359"/>
      <c r="AU58" s="359"/>
      <c r="AV58" s="359"/>
      <c r="AW58" s="359"/>
      <c r="AX58" s="359"/>
      <c r="AY58" s="359"/>
      <c r="AZ58" s="359"/>
    </row>
    <row r="59" spans="1:52" s="342" customFormat="1">
      <c r="A59" s="1642"/>
      <c r="B59" s="1642"/>
      <c r="C59" s="1642"/>
      <c r="D59" s="1642"/>
      <c r="E59" s="1642"/>
      <c r="F59" s="1642"/>
      <c r="G59" s="1642"/>
      <c r="H59" s="1642"/>
      <c r="I59" s="1642"/>
      <c r="J59" s="1642"/>
      <c r="K59" s="1642"/>
      <c r="L59" s="1642"/>
      <c r="M59" s="1642"/>
      <c r="N59" s="1642"/>
      <c r="O59" s="1642"/>
      <c r="P59" s="1642"/>
      <c r="Q59" s="1642"/>
      <c r="R59" s="1642"/>
      <c r="S59" s="1642"/>
      <c r="T59" s="1642"/>
      <c r="U59" s="1642"/>
      <c r="V59" s="1753"/>
      <c r="W59" s="359"/>
      <c r="X59" s="359"/>
      <c r="Y59" s="359"/>
      <c r="Z59" s="359"/>
      <c r="AA59" s="359"/>
      <c r="AB59" s="359"/>
      <c r="AC59" s="359"/>
      <c r="AD59" s="359"/>
      <c r="AE59" s="359"/>
      <c r="AF59" s="359"/>
      <c r="AG59" s="359"/>
      <c r="AH59" s="359"/>
      <c r="AI59" s="359"/>
      <c r="AJ59" s="359"/>
      <c r="AK59" s="359"/>
      <c r="AL59" s="359"/>
      <c r="AM59" s="359"/>
      <c r="AN59" s="359"/>
      <c r="AO59" s="359"/>
      <c r="AP59" s="359"/>
      <c r="AQ59" s="359"/>
      <c r="AR59" s="359"/>
      <c r="AS59" s="359"/>
      <c r="AT59" s="359"/>
      <c r="AU59" s="359"/>
      <c r="AV59" s="359"/>
      <c r="AW59" s="359"/>
      <c r="AX59" s="359"/>
      <c r="AY59" s="359"/>
      <c r="AZ59" s="359"/>
    </row>
    <row r="60" spans="1:52" s="342" customFormat="1">
      <c r="A60" s="378" t="s">
        <v>268</v>
      </c>
      <c r="B60" s="372" t="s">
        <v>497</v>
      </c>
      <c r="C60" s="363" t="s">
        <v>400</v>
      </c>
      <c r="D60" s="363" t="s">
        <v>384</v>
      </c>
      <c r="E60" s="363" t="s">
        <v>394</v>
      </c>
      <c r="F60" s="363" t="s">
        <v>395</v>
      </c>
      <c r="G60" s="363" t="s">
        <v>401</v>
      </c>
      <c r="H60" s="363" t="s">
        <v>400</v>
      </c>
      <c r="I60" s="363" t="s">
        <v>384</v>
      </c>
      <c r="J60" s="363" t="s">
        <v>394</v>
      </c>
      <c r="K60" s="363" t="s">
        <v>395</v>
      </c>
      <c r="L60" s="363" t="s">
        <v>401</v>
      </c>
      <c r="M60" s="363" t="s">
        <v>400</v>
      </c>
      <c r="N60" s="363" t="s">
        <v>384</v>
      </c>
      <c r="O60" s="363" t="s">
        <v>394</v>
      </c>
      <c r="P60" s="363" t="s">
        <v>395</v>
      </c>
      <c r="Q60" s="363" t="s">
        <v>401</v>
      </c>
      <c r="R60" s="363" t="s">
        <v>400</v>
      </c>
      <c r="S60" s="363" t="s">
        <v>384</v>
      </c>
      <c r="T60" s="363" t="s">
        <v>394</v>
      </c>
      <c r="U60" s="363" t="s">
        <v>395</v>
      </c>
      <c r="V60" s="363" t="s">
        <v>401</v>
      </c>
      <c r="W60" s="363" t="s">
        <v>400</v>
      </c>
      <c r="X60" s="363" t="s">
        <v>384</v>
      </c>
      <c r="Y60" s="363" t="s">
        <v>394</v>
      </c>
      <c r="Z60" s="363" t="s">
        <v>395</v>
      </c>
      <c r="AA60" s="363" t="s">
        <v>401</v>
      </c>
      <c r="AB60" s="363" t="s">
        <v>400</v>
      </c>
      <c r="AC60" s="363" t="s">
        <v>384</v>
      </c>
      <c r="AD60" s="363" t="s">
        <v>394</v>
      </c>
      <c r="AE60" s="363" t="s">
        <v>395</v>
      </c>
      <c r="AF60" s="363" t="s">
        <v>401</v>
      </c>
      <c r="AG60" s="356"/>
      <c r="AH60" s="356"/>
      <c r="AI60" s="356"/>
      <c r="AJ60" s="356"/>
      <c r="AK60" s="356"/>
      <c r="AL60" s="356"/>
      <c r="AM60" s="356"/>
      <c r="AN60" s="356"/>
      <c r="AO60" s="356"/>
      <c r="AP60" s="356"/>
      <c r="AQ60" s="356"/>
      <c r="AR60" s="356"/>
      <c r="AS60" s="356"/>
      <c r="AT60" s="356"/>
      <c r="AU60" s="356"/>
      <c r="AV60" s="356"/>
      <c r="AW60" s="356"/>
      <c r="AX60" s="356"/>
      <c r="AY60" s="356"/>
      <c r="AZ60" s="356"/>
    </row>
    <row r="61" spans="1:52" s="342" customFormat="1">
      <c r="A61" s="244" t="s">
        <v>250</v>
      </c>
      <c r="B61" s="351" t="s">
        <v>506</v>
      </c>
      <c r="C61" s="354">
        <f>D61+E61+F61+G61</f>
        <v>3.9235755108155406</v>
      </c>
      <c r="D61" s="354">
        <f>D62+D63</f>
        <v>0</v>
      </c>
      <c r="E61" s="354">
        <f>E62+E63</f>
        <v>0</v>
      </c>
      <c r="F61" s="354">
        <f>F62+F63</f>
        <v>1.4422313512915266</v>
      </c>
      <c r="G61" s="354">
        <f>G62+G63</f>
        <v>2.481344159524014</v>
      </c>
      <c r="H61" s="354">
        <f>I61+J61+K61+L61</f>
        <v>2.9560903697076926</v>
      </c>
      <c r="I61" s="354">
        <f>I62+I63</f>
        <v>0</v>
      </c>
      <c r="J61" s="354">
        <f>J62+J63</f>
        <v>0</v>
      </c>
      <c r="K61" s="354">
        <f>K62+K63</f>
        <v>0.44851900516778259</v>
      </c>
      <c r="L61" s="354">
        <f>L62+L63</f>
        <v>2.5075713645399098</v>
      </c>
      <c r="M61" s="354">
        <f>N61+O61+P61+Q61</f>
        <v>4.1196581196581201</v>
      </c>
      <c r="N61" s="354">
        <f>N62+N63</f>
        <v>0</v>
      </c>
      <c r="O61" s="354">
        <f>O62+O63</f>
        <v>0</v>
      </c>
      <c r="P61" s="354">
        <f>P62+P63</f>
        <v>1.5374575435348865</v>
      </c>
      <c r="Q61" s="354">
        <f>Q62+Q63</f>
        <v>2.5822005761232334</v>
      </c>
      <c r="R61" s="354">
        <f>S61+T61+U61+V61</f>
        <v>4.0457262530413436</v>
      </c>
      <c r="S61" s="354">
        <f>S62+S63</f>
        <v>0</v>
      </c>
      <c r="T61" s="354">
        <f>T62+T63</f>
        <v>0</v>
      </c>
      <c r="U61" s="354">
        <f>U62+U63</f>
        <v>1.4871316289938321</v>
      </c>
      <c r="V61" s="354">
        <f>V62+V63</f>
        <v>2.5585946240475117</v>
      </c>
      <c r="W61" s="354">
        <f>X61+Y61+Z61+AA61</f>
        <v>4.2609090909090899</v>
      </c>
      <c r="X61" s="354">
        <f>X62+X63</f>
        <v>0</v>
      </c>
      <c r="Y61" s="354">
        <f>Y62+Y63</f>
        <v>0</v>
      </c>
      <c r="Z61" s="354">
        <f>Z62+Z63</f>
        <v>1.5901724448625374</v>
      </c>
      <c r="AA61" s="354">
        <f>AA62+AA63</f>
        <v>2.6707366460465529</v>
      </c>
      <c r="AB61" s="354">
        <f>AC61+AD61+AE61+AF61</f>
        <v>4.2354909090909088</v>
      </c>
      <c r="AC61" s="354">
        <f>AC62+AC63</f>
        <v>0</v>
      </c>
      <c r="AD61" s="354">
        <f>AD62+AD63</f>
        <v>0</v>
      </c>
      <c r="AE61" s="354">
        <f>AE62+AE63</f>
        <v>1.4987774648995751</v>
      </c>
      <c r="AF61" s="354">
        <f>AF62+AF63</f>
        <v>2.7367134441913339</v>
      </c>
      <c r="AG61" s="360"/>
      <c r="AH61" s="360"/>
      <c r="AI61" s="360"/>
      <c r="AJ61" s="360"/>
      <c r="AK61" s="360"/>
      <c r="AL61" s="360"/>
      <c r="AM61" s="360"/>
      <c r="AN61" s="360"/>
      <c r="AO61" s="360"/>
      <c r="AP61" s="360"/>
      <c r="AQ61" s="360"/>
      <c r="AR61" s="360"/>
      <c r="AS61" s="360"/>
      <c r="AT61" s="360"/>
      <c r="AU61" s="360"/>
      <c r="AV61" s="360"/>
      <c r="AW61" s="360"/>
      <c r="AX61" s="360"/>
      <c r="AY61" s="360"/>
      <c r="AZ61" s="360"/>
    </row>
    <row r="62" spans="1:52" s="342" customFormat="1">
      <c r="A62" s="244" t="s">
        <v>403</v>
      </c>
      <c r="B62" s="351" t="s">
        <v>498</v>
      </c>
      <c r="C62" s="354">
        <f t="shared" ref="C62:C72" si="14">D62+E62+F62+G62</f>
        <v>1.8860592038690343</v>
      </c>
      <c r="D62" s="345"/>
      <c r="E62" s="345"/>
      <c r="F62" s="855">
        <f>'1.4'!F61/5499</f>
        <v>1.4422313512915266</v>
      </c>
      <c r="G62" s="855">
        <f>'1.4'!G61/5499</f>
        <v>0.44382785257750762</v>
      </c>
      <c r="H62" s="354">
        <f t="shared" ref="H62:H72" si="15">I62+J62+K62+L62</f>
        <v>0.89703801033556518</v>
      </c>
      <c r="I62" s="345"/>
      <c r="J62" s="345"/>
      <c r="K62" s="855">
        <f>'1.4'!K61/5499</f>
        <v>0.44851900516778259</v>
      </c>
      <c r="L62" s="855">
        <f>'1.4'!L61/5499</f>
        <v>0.44851900516778259</v>
      </c>
      <c r="M62" s="354">
        <f t="shared" ref="M62:M72" si="16">N62+O62+P62+Q62</f>
        <v>2.0591679019632445</v>
      </c>
      <c r="N62" s="345"/>
      <c r="O62" s="345"/>
      <c r="P62" s="855">
        <f>'1.4'!P61/5499</f>
        <v>1.5374575435348865</v>
      </c>
      <c r="Q62" s="855">
        <f>'1.4'!Q61/5499</f>
        <v>0.52171035842835811</v>
      </c>
      <c r="R62" s="354">
        <f t="shared" ref="R62:R72" si="17">S62+T62+U62+V62</f>
        <v>1.944776955317769</v>
      </c>
      <c r="S62" s="345"/>
      <c r="T62" s="345"/>
      <c r="U62" s="855">
        <f>'1.4'!U61/5499</f>
        <v>1.4871316289938321</v>
      </c>
      <c r="V62" s="855">
        <f>'1.4'!V61/5499</f>
        <v>0.45764532632393695</v>
      </c>
      <c r="W62" s="354">
        <f t="shared" ref="W62:W72" si="18">X62+Y62+Z62+AA62</f>
        <v>2.1297707184283325</v>
      </c>
      <c r="X62" s="345"/>
      <c r="Y62" s="345"/>
      <c r="Z62" s="855">
        <f>'1.4'!Z61/5500</f>
        <v>1.5901724448625374</v>
      </c>
      <c r="AA62" s="855">
        <f>'1.4'!AA61/5500</f>
        <v>0.53959827356579504</v>
      </c>
      <c r="AB62" s="354">
        <f t="shared" ref="AB62:AB72" si="19">AC62+AD62+AE62+AF62</f>
        <v>1.9839545144339845</v>
      </c>
      <c r="AC62" s="855"/>
      <c r="AD62" s="855"/>
      <c r="AE62" s="855">
        <f>'1.4'!AE61/5500</f>
        <v>1.4987774648995751</v>
      </c>
      <c r="AF62" s="855">
        <f>'1.4'!AF61/5500</f>
        <v>0.48517704953440938</v>
      </c>
      <c r="AG62" s="360"/>
      <c r="AH62" s="357"/>
      <c r="AI62" s="357"/>
      <c r="AJ62" s="357"/>
      <c r="AK62" s="357"/>
      <c r="AL62" s="360"/>
      <c r="AM62" s="357"/>
      <c r="AN62" s="357"/>
      <c r="AO62" s="357"/>
      <c r="AP62" s="357"/>
      <c r="AQ62" s="360"/>
      <c r="AR62" s="357"/>
      <c r="AS62" s="357"/>
      <c r="AT62" s="357"/>
      <c r="AU62" s="357"/>
      <c r="AV62" s="360"/>
      <c r="AW62" s="357"/>
      <c r="AX62" s="357"/>
      <c r="AY62" s="357"/>
      <c r="AZ62" s="357"/>
    </row>
    <row r="63" spans="1:52" s="342" customFormat="1">
      <c r="A63" s="244" t="s">
        <v>404</v>
      </c>
      <c r="B63" s="351" t="s">
        <v>499</v>
      </c>
      <c r="C63" s="354">
        <f t="shared" si="14"/>
        <v>2.0375163069465065</v>
      </c>
      <c r="D63" s="345"/>
      <c r="E63" s="345"/>
      <c r="F63" s="855"/>
      <c r="G63" s="855">
        <f>'1.4'!G62/5499</f>
        <v>2.0375163069465065</v>
      </c>
      <c r="H63" s="354">
        <f t="shared" si="15"/>
        <v>2.0590523593721271</v>
      </c>
      <c r="I63" s="345"/>
      <c r="J63" s="345"/>
      <c r="K63" s="855"/>
      <c r="L63" s="855">
        <f>'1.4'!L62/5499</f>
        <v>2.0590523593721271</v>
      </c>
      <c r="M63" s="354">
        <f t="shared" si="16"/>
        <v>2.0604902176948752</v>
      </c>
      <c r="N63" s="345"/>
      <c r="O63" s="345"/>
      <c r="P63" s="855"/>
      <c r="Q63" s="855">
        <f>'1.4'!Q62/5499</f>
        <v>2.0604902176948752</v>
      </c>
      <c r="R63" s="354">
        <f t="shared" si="17"/>
        <v>2.1009492977235746</v>
      </c>
      <c r="S63" s="345"/>
      <c r="T63" s="345"/>
      <c r="U63" s="855"/>
      <c r="V63" s="855">
        <f>'1.4'!V62/5499</f>
        <v>2.1009492977235746</v>
      </c>
      <c r="W63" s="354">
        <f t="shared" si="18"/>
        <v>2.1311383724807578</v>
      </c>
      <c r="X63" s="345"/>
      <c r="Y63" s="345"/>
      <c r="Z63" s="855"/>
      <c r="AA63" s="855">
        <f>'1.4'!AA62/5500</f>
        <v>2.1311383724807578</v>
      </c>
      <c r="AB63" s="354">
        <f t="shared" si="19"/>
        <v>2.2515363946569247</v>
      </c>
      <c r="AC63" s="855"/>
      <c r="AD63" s="855"/>
      <c r="AE63" s="855"/>
      <c r="AF63" s="855">
        <f>'1.4'!AF62/5500</f>
        <v>2.2515363946569247</v>
      </c>
      <c r="AG63" s="360"/>
      <c r="AH63" s="357"/>
      <c r="AI63" s="357"/>
      <c r="AJ63" s="357"/>
      <c r="AK63" s="357"/>
      <c r="AL63" s="360"/>
      <c r="AM63" s="357"/>
      <c r="AN63" s="357"/>
      <c r="AO63" s="357"/>
      <c r="AP63" s="357"/>
      <c r="AQ63" s="360"/>
      <c r="AR63" s="357"/>
      <c r="AS63" s="357"/>
      <c r="AT63" s="357"/>
      <c r="AU63" s="357"/>
      <c r="AV63" s="360"/>
      <c r="AW63" s="357"/>
      <c r="AX63" s="357"/>
      <c r="AY63" s="357"/>
      <c r="AZ63" s="357"/>
    </row>
    <row r="64" spans="1:52" s="342" customFormat="1">
      <c r="A64" s="244" t="s">
        <v>246</v>
      </c>
      <c r="B64" s="351" t="s">
        <v>507</v>
      </c>
      <c r="C64" s="354">
        <f t="shared" si="14"/>
        <v>0</v>
      </c>
      <c r="D64" s="354">
        <f>D65+D66</f>
        <v>0</v>
      </c>
      <c r="E64" s="354">
        <f>E65+E66</f>
        <v>0</v>
      </c>
      <c r="F64" s="354">
        <f>F65+F66</f>
        <v>0</v>
      </c>
      <c r="G64" s="354">
        <f>G65+G66</f>
        <v>0</v>
      </c>
      <c r="H64" s="354">
        <f t="shared" si="15"/>
        <v>0</v>
      </c>
      <c r="I64" s="354">
        <f>I65+I66</f>
        <v>0</v>
      </c>
      <c r="J64" s="354">
        <f>J65+J66</f>
        <v>0</v>
      </c>
      <c r="K64" s="354">
        <f>K65+K66</f>
        <v>0</v>
      </c>
      <c r="L64" s="354">
        <f>L65+L66</f>
        <v>0</v>
      </c>
      <c r="M64" s="354">
        <f t="shared" si="16"/>
        <v>0</v>
      </c>
      <c r="N64" s="354">
        <f>N65+N66</f>
        <v>0</v>
      </c>
      <c r="O64" s="354">
        <f>O65+O66</f>
        <v>0</v>
      </c>
      <c r="P64" s="354">
        <f>P65+P66</f>
        <v>0</v>
      </c>
      <c r="Q64" s="354">
        <f>Q65+Q66</f>
        <v>0</v>
      </c>
      <c r="R64" s="354">
        <f t="shared" si="17"/>
        <v>0</v>
      </c>
      <c r="S64" s="354">
        <f>S65+S66</f>
        <v>0</v>
      </c>
      <c r="T64" s="354">
        <f>T65+T66</f>
        <v>0</v>
      </c>
      <c r="U64" s="354">
        <f>U65+U66</f>
        <v>0</v>
      </c>
      <c r="V64" s="354">
        <f>V65+V66</f>
        <v>0</v>
      </c>
      <c r="W64" s="354">
        <f t="shared" si="18"/>
        <v>0</v>
      </c>
      <c r="X64" s="354">
        <f>X65+X66</f>
        <v>0</v>
      </c>
      <c r="Y64" s="354">
        <f>Y65+Y66</f>
        <v>0</v>
      </c>
      <c r="Z64" s="354">
        <f>Z65+Z66</f>
        <v>0</v>
      </c>
      <c r="AA64" s="354">
        <f>AA65+AA66</f>
        <v>0</v>
      </c>
      <c r="AB64" s="354">
        <f t="shared" si="19"/>
        <v>0</v>
      </c>
      <c r="AC64" s="354">
        <f>AC65+AC66</f>
        <v>0</v>
      </c>
      <c r="AD64" s="354">
        <f>AD65+AD66</f>
        <v>0</v>
      </c>
      <c r="AE64" s="354">
        <f>AE65+AE66</f>
        <v>0</v>
      </c>
      <c r="AF64" s="354">
        <f>AF65+AF66</f>
        <v>0</v>
      </c>
      <c r="AG64" s="360"/>
      <c r="AH64" s="360"/>
      <c r="AI64" s="360"/>
      <c r="AJ64" s="360"/>
      <c r="AK64" s="360"/>
      <c r="AL64" s="360"/>
      <c r="AM64" s="360"/>
      <c r="AN64" s="360"/>
      <c r="AO64" s="360"/>
      <c r="AP64" s="360"/>
      <c r="AQ64" s="360"/>
      <c r="AR64" s="360"/>
      <c r="AS64" s="360"/>
      <c r="AT64" s="360"/>
      <c r="AU64" s="360"/>
      <c r="AV64" s="360"/>
      <c r="AW64" s="360"/>
      <c r="AX64" s="360"/>
      <c r="AY64" s="360"/>
      <c r="AZ64" s="360"/>
    </row>
    <row r="65" spans="1:52" s="342" customFormat="1">
      <c r="A65" s="244" t="s">
        <v>272</v>
      </c>
      <c r="B65" s="351" t="s">
        <v>498</v>
      </c>
      <c r="C65" s="354">
        <f t="shared" si="14"/>
        <v>0</v>
      </c>
      <c r="D65" s="345"/>
      <c r="E65" s="345"/>
      <c r="F65" s="345"/>
      <c r="G65" s="345"/>
      <c r="H65" s="354">
        <f t="shared" si="15"/>
        <v>0</v>
      </c>
      <c r="I65" s="345"/>
      <c r="J65" s="345"/>
      <c r="K65" s="345"/>
      <c r="L65" s="345"/>
      <c r="M65" s="354">
        <f t="shared" si="16"/>
        <v>0</v>
      </c>
      <c r="N65" s="345"/>
      <c r="O65" s="345"/>
      <c r="P65" s="345"/>
      <c r="Q65" s="345"/>
      <c r="R65" s="354">
        <f t="shared" si="17"/>
        <v>0</v>
      </c>
      <c r="S65" s="345"/>
      <c r="T65" s="345"/>
      <c r="U65" s="345"/>
      <c r="V65" s="345"/>
      <c r="W65" s="354">
        <f t="shared" si="18"/>
        <v>0</v>
      </c>
      <c r="X65" s="345"/>
      <c r="Y65" s="345"/>
      <c r="Z65" s="345"/>
      <c r="AA65" s="345"/>
      <c r="AB65" s="354">
        <f t="shared" si="19"/>
        <v>0</v>
      </c>
      <c r="AC65" s="345"/>
      <c r="AD65" s="345"/>
      <c r="AE65" s="345"/>
      <c r="AF65" s="345"/>
      <c r="AG65" s="360"/>
      <c r="AH65" s="357"/>
      <c r="AI65" s="357"/>
      <c r="AJ65" s="357"/>
      <c r="AK65" s="357"/>
      <c r="AL65" s="360"/>
      <c r="AM65" s="357"/>
      <c r="AN65" s="357"/>
      <c r="AO65" s="357"/>
      <c r="AP65" s="357"/>
      <c r="AQ65" s="360"/>
      <c r="AR65" s="357"/>
      <c r="AS65" s="357"/>
      <c r="AT65" s="357"/>
      <c r="AU65" s="357"/>
      <c r="AV65" s="360"/>
      <c r="AW65" s="357"/>
      <c r="AX65" s="357"/>
      <c r="AY65" s="357"/>
      <c r="AZ65" s="357"/>
    </row>
    <row r="66" spans="1:52" s="342" customFormat="1">
      <c r="A66" s="244" t="s">
        <v>275</v>
      </c>
      <c r="B66" s="351" t="s">
        <v>499</v>
      </c>
      <c r="C66" s="354">
        <f t="shared" si="14"/>
        <v>0</v>
      </c>
      <c r="D66" s="345"/>
      <c r="E66" s="345"/>
      <c r="F66" s="345"/>
      <c r="G66" s="345"/>
      <c r="H66" s="354">
        <f t="shared" si="15"/>
        <v>0</v>
      </c>
      <c r="I66" s="345"/>
      <c r="J66" s="345"/>
      <c r="K66" s="345"/>
      <c r="L66" s="345"/>
      <c r="M66" s="354">
        <f t="shared" si="16"/>
        <v>0</v>
      </c>
      <c r="N66" s="345"/>
      <c r="O66" s="345"/>
      <c r="P66" s="345"/>
      <c r="Q66" s="345"/>
      <c r="R66" s="354">
        <f t="shared" si="17"/>
        <v>0</v>
      </c>
      <c r="S66" s="345"/>
      <c r="T66" s="345"/>
      <c r="U66" s="345"/>
      <c r="V66" s="345"/>
      <c r="W66" s="354">
        <f t="shared" si="18"/>
        <v>0</v>
      </c>
      <c r="X66" s="345"/>
      <c r="Y66" s="345"/>
      <c r="Z66" s="345"/>
      <c r="AA66" s="345"/>
      <c r="AB66" s="354">
        <f t="shared" si="19"/>
        <v>0</v>
      </c>
      <c r="AC66" s="345"/>
      <c r="AD66" s="345"/>
      <c r="AE66" s="345"/>
      <c r="AF66" s="345"/>
      <c r="AG66" s="360"/>
      <c r="AH66" s="357"/>
      <c r="AI66" s="357"/>
      <c r="AJ66" s="357"/>
      <c r="AK66" s="357"/>
      <c r="AL66" s="360"/>
      <c r="AM66" s="357"/>
      <c r="AN66" s="357"/>
      <c r="AO66" s="357"/>
      <c r="AP66" s="357"/>
      <c r="AQ66" s="360"/>
      <c r="AR66" s="357"/>
      <c r="AS66" s="357"/>
      <c r="AT66" s="357"/>
      <c r="AU66" s="357"/>
      <c r="AV66" s="360"/>
      <c r="AW66" s="357"/>
      <c r="AX66" s="357"/>
      <c r="AY66" s="357"/>
      <c r="AZ66" s="357"/>
    </row>
    <row r="67" spans="1:52" s="342" customFormat="1">
      <c r="A67" s="244" t="s">
        <v>251</v>
      </c>
      <c r="B67" s="351" t="s">
        <v>500</v>
      </c>
      <c r="C67" s="354">
        <f t="shared" si="14"/>
        <v>0</v>
      </c>
      <c r="D67" s="354">
        <f>D68+D69</f>
        <v>0</v>
      </c>
      <c r="E67" s="354">
        <f>E68+E69</f>
        <v>0</v>
      </c>
      <c r="F67" s="354">
        <f>F68+F69</f>
        <v>0</v>
      </c>
      <c r="G67" s="354">
        <f>G68+G69</f>
        <v>0</v>
      </c>
      <c r="H67" s="354">
        <f t="shared" si="15"/>
        <v>0</v>
      </c>
      <c r="I67" s="354">
        <f>I68+I69</f>
        <v>0</v>
      </c>
      <c r="J67" s="354">
        <f>J68+J69</f>
        <v>0</v>
      </c>
      <c r="K67" s="354">
        <f>K68+K69</f>
        <v>0</v>
      </c>
      <c r="L67" s="354">
        <f>L68+L69</f>
        <v>0</v>
      </c>
      <c r="M67" s="354">
        <f t="shared" si="16"/>
        <v>0</v>
      </c>
      <c r="N67" s="354">
        <f>N68+N69</f>
        <v>0</v>
      </c>
      <c r="O67" s="354">
        <f>O68+O69</f>
        <v>0</v>
      </c>
      <c r="P67" s="354">
        <f>P68+P69</f>
        <v>0</v>
      </c>
      <c r="Q67" s="354">
        <f>Q68+Q69</f>
        <v>0</v>
      </c>
      <c r="R67" s="354">
        <f t="shared" si="17"/>
        <v>0</v>
      </c>
      <c r="S67" s="354">
        <f>S68+S69</f>
        <v>0</v>
      </c>
      <c r="T67" s="354">
        <f>T68+T69</f>
        <v>0</v>
      </c>
      <c r="U67" s="354">
        <f>U68+U69</f>
        <v>0</v>
      </c>
      <c r="V67" s="354">
        <f>V68+V69</f>
        <v>0</v>
      </c>
      <c r="W67" s="354">
        <f t="shared" si="18"/>
        <v>0</v>
      </c>
      <c r="X67" s="354">
        <f>X68+X69</f>
        <v>0</v>
      </c>
      <c r="Y67" s="354">
        <f>Y68+Y69</f>
        <v>0</v>
      </c>
      <c r="Z67" s="354">
        <f>Z68+Z69</f>
        <v>0</v>
      </c>
      <c r="AA67" s="354">
        <f>AA68+AA69</f>
        <v>0</v>
      </c>
      <c r="AB67" s="354">
        <f t="shared" si="19"/>
        <v>0</v>
      </c>
      <c r="AC67" s="354">
        <f>AC68+AC69</f>
        <v>0</v>
      </c>
      <c r="AD67" s="354">
        <f>AD68+AD69</f>
        <v>0</v>
      </c>
      <c r="AE67" s="354">
        <f>AE68+AE69</f>
        <v>0</v>
      </c>
      <c r="AF67" s="354">
        <f>AF68+AF69</f>
        <v>0</v>
      </c>
      <c r="AG67" s="360"/>
      <c r="AH67" s="360"/>
      <c r="AI67" s="360"/>
      <c r="AJ67" s="360"/>
      <c r="AK67" s="360"/>
      <c r="AL67" s="360"/>
      <c r="AM67" s="360"/>
      <c r="AN67" s="360"/>
      <c r="AO67" s="360"/>
      <c r="AP67" s="360"/>
      <c r="AQ67" s="360"/>
      <c r="AR67" s="360"/>
      <c r="AS67" s="360"/>
      <c r="AT67" s="360"/>
      <c r="AU67" s="360"/>
      <c r="AV67" s="360"/>
      <c r="AW67" s="360"/>
      <c r="AX67" s="360"/>
      <c r="AY67" s="360"/>
      <c r="AZ67" s="360"/>
    </row>
    <row r="68" spans="1:52" s="342" customFormat="1">
      <c r="A68" s="244" t="s">
        <v>414</v>
      </c>
      <c r="B68" s="351" t="s">
        <v>498</v>
      </c>
      <c r="C68" s="354">
        <f t="shared" si="14"/>
        <v>0</v>
      </c>
      <c r="D68" s="345"/>
      <c r="E68" s="345"/>
      <c r="F68" s="345"/>
      <c r="G68" s="345"/>
      <c r="H68" s="354">
        <f t="shared" si="15"/>
        <v>0</v>
      </c>
      <c r="I68" s="345"/>
      <c r="J68" s="345"/>
      <c r="K68" s="345"/>
      <c r="L68" s="345"/>
      <c r="M68" s="354">
        <f t="shared" si="16"/>
        <v>0</v>
      </c>
      <c r="N68" s="345"/>
      <c r="O68" s="345"/>
      <c r="P68" s="345"/>
      <c r="Q68" s="345"/>
      <c r="R68" s="354">
        <f t="shared" si="17"/>
        <v>0</v>
      </c>
      <c r="S68" s="345"/>
      <c r="T68" s="345"/>
      <c r="U68" s="345"/>
      <c r="V68" s="345"/>
      <c r="W68" s="354">
        <f t="shared" si="18"/>
        <v>0</v>
      </c>
      <c r="X68" s="345"/>
      <c r="Y68" s="345"/>
      <c r="Z68" s="345"/>
      <c r="AA68" s="345"/>
      <c r="AB68" s="354">
        <f t="shared" si="19"/>
        <v>0</v>
      </c>
      <c r="AC68" s="345"/>
      <c r="AD68" s="345"/>
      <c r="AE68" s="345"/>
      <c r="AF68" s="345"/>
      <c r="AG68" s="360"/>
      <c r="AH68" s="357"/>
      <c r="AI68" s="357"/>
      <c r="AJ68" s="357"/>
      <c r="AK68" s="357"/>
      <c r="AL68" s="360"/>
      <c r="AM68" s="357"/>
      <c r="AN68" s="357"/>
      <c r="AO68" s="357"/>
      <c r="AP68" s="357"/>
      <c r="AQ68" s="360"/>
      <c r="AR68" s="357"/>
      <c r="AS68" s="357"/>
      <c r="AT68" s="357"/>
      <c r="AU68" s="357"/>
      <c r="AV68" s="360"/>
      <c r="AW68" s="357"/>
      <c r="AX68" s="357"/>
      <c r="AY68" s="357"/>
      <c r="AZ68" s="357"/>
    </row>
    <row r="69" spans="1:52" s="342" customFormat="1">
      <c r="A69" s="244" t="s">
        <v>415</v>
      </c>
      <c r="B69" s="351" t="s">
        <v>499</v>
      </c>
      <c r="C69" s="354">
        <f t="shared" si="14"/>
        <v>0</v>
      </c>
      <c r="D69" s="345"/>
      <c r="E69" s="345"/>
      <c r="F69" s="345"/>
      <c r="G69" s="345"/>
      <c r="H69" s="354">
        <f t="shared" si="15"/>
        <v>0</v>
      </c>
      <c r="I69" s="345"/>
      <c r="J69" s="345"/>
      <c r="K69" s="345"/>
      <c r="L69" s="345"/>
      <c r="M69" s="354">
        <f t="shared" si="16"/>
        <v>0</v>
      </c>
      <c r="N69" s="345"/>
      <c r="O69" s="345"/>
      <c r="P69" s="345"/>
      <c r="Q69" s="345"/>
      <c r="R69" s="354">
        <f t="shared" si="17"/>
        <v>0</v>
      </c>
      <c r="S69" s="345"/>
      <c r="T69" s="345"/>
      <c r="U69" s="345"/>
      <c r="V69" s="345"/>
      <c r="W69" s="354">
        <f t="shared" si="18"/>
        <v>0</v>
      </c>
      <c r="X69" s="345"/>
      <c r="Y69" s="345"/>
      <c r="Z69" s="345"/>
      <c r="AA69" s="345"/>
      <c r="AB69" s="354">
        <f t="shared" si="19"/>
        <v>0</v>
      </c>
      <c r="AC69" s="345"/>
      <c r="AD69" s="345"/>
      <c r="AE69" s="345"/>
      <c r="AF69" s="345"/>
      <c r="AG69" s="360"/>
      <c r="AH69" s="357"/>
      <c r="AI69" s="357"/>
      <c r="AJ69" s="357"/>
      <c r="AK69" s="357"/>
      <c r="AL69" s="360"/>
      <c r="AM69" s="357"/>
      <c r="AN69" s="357"/>
      <c r="AO69" s="357"/>
      <c r="AP69" s="357"/>
      <c r="AQ69" s="360"/>
      <c r="AR69" s="357"/>
      <c r="AS69" s="357"/>
      <c r="AT69" s="357"/>
      <c r="AU69" s="357"/>
      <c r="AV69" s="360"/>
      <c r="AW69" s="357"/>
      <c r="AX69" s="357"/>
      <c r="AY69" s="357"/>
      <c r="AZ69" s="357"/>
    </row>
    <row r="70" spans="1:52" s="342" customFormat="1">
      <c r="A70" s="244" t="s">
        <v>253</v>
      </c>
      <c r="B70" s="351" t="s">
        <v>589</v>
      </c>
      <c r="C70" s="354">
        <f t="shared" si="14"/>
        <v>0.14453664302600472</v>
      </c>
      <c r="D70" s="354">
        <f>D71+D72</f>
        <v>0</v>
      </c>
      <c r="E70" s="354">
        <f>E71+E72</f>
        <v>0</v>
      </c>
      <c r="F70" s="354">
        <f>F71+F72</f>
        <v>9.9010547372249486E-2</v>
      </c>
      <c r="G70" s="354">
        <f>G71+G72</f>
        <v>4.5526095653755233E-2</v>
      </c>
      <c r="H70" s="354">
        <f t="shared" si="15"/>
        <v>0</v>
      </c>
      <c r="I70" s="354">
        <f>I71+I72</f>
        <v>0</v>
      </c>
      <c r="J70" s="354">
        <f>J71+J72</f>
        <v>0</v>
      </c>
      <c r="K70" s="354">
        <f>K71+K72</f>
        <v>0</v>
      </c>
      <c r="L70" s="354">
        <f>L71+L72</f>
        <v>0</v>
      </c>
      <c r="M70" s="354">
        <f t="shared" si="16"/>
        <v>0</v>
      </c>
      <c r="N70" s="354">
        <f>N71+N72</f>
        <v>0</v>
      </c>
      <c r="O70" s="354">
        <f>O71+O72</f>
        <v>0</v>
      </c>
      <c r="P70" s="354">
        <f>P71+P72</f>
        <v>0</v>
      </c>
      <c r="Q70" s="354">
        <f>Q71+Q72</f>
        <v>0</v>
      </c>
      <c r="R70" s="354">
        <f t="shared" si="17"/>
        <v>0</v>
      </c>
      <c r="S70" s="354">
        <f>S71+S72</f>
        <v>0</v>
      </c>
      <c r="T70" s="354">
        <f>T71+T72</f>
        <v>0</v>
      </c>
      <c r="U70" s="354">
        <f>U71+U72</f>
        <v>0</v>
      </c>
      <c r="V70" s="354">
        <f>V71+V72</f>
        <v>0</v>
      </c>
      <c r="W70" s="354">
        <f t="shared" si="18"/>
        <v>0</v>
      </c>
      <c r="X70" s="354">
        <f>X71+X72</f>
        <v>0</v>
      </c>
      <c r="Y70" s="354">
        <f>Y71+Y72</f>
        <v>0</v>
      </c>
      <c r="Z70" s="354">
        <f>Z71+Z72</f>
        <v>0</v>
      </c>
      <c r="AA70" s="354">
        <f>AA71+AA72</f>
        <v>0</v>
      </c>
      <c r="AB70" s="354">
        <f t="shared" si="19"/>
        <v>0</v>
      </c>
      <c r="AC70" s="354">
        <f>AC71+AC72</f>
        <v>0</v>
      </c>
      <c r="AD70" s="354">
        <f>AD71+AD72</f>
        <v>0</v>
      </c>
      <c r="AE70" s="354">
        <f>AE71+AE72</f>
        <v>0</v>
      </c>
      <c r="AF70" s="354">
        <f>AF71+AF72</f>
        <v>0</v>
      </c>
      <c r="AG70" s="360"/>
      <c r="AH70" s="360"/>
      <c r="AI70" s="360"/>
      <c r="AJ70" s="360"/>
      <c r="AK70" s="360"/>
      <c r="AL70" s="360"/>
      <c r="AM70" s="360"/>
      <c r="AN70" s="360"/>
      <c r="AO70" s="360"/>
      <c r="AP70" s="360"/>
      <c r="AQ70" s="360"/>
      <c r="AR70" s="360"/>
      <c r="AS70" s="360"/>
      <c r="AT70" s="360"/>
      <c r="AU70" s="360"/>
      <c r="AV70" s="360"/>
      <c r="AW70" s="360"/>
      <c r="AX70" s="360"/>
      <c r="AY70" s="360"/>
      <c r="AZ70" s="360"/>
    </row>
    <row r="71" spans="1:52" s="342" customFormat="1">
      <c r="A71" s="244" t="s">
        <v>408</v>
      </c>
      <c r="B71" s="351" t="s">
        <v>498</v>
      </c>
      <c r="C71" s="354">
        <f t="shared" si="14"/>
        <v>0.14453664302600472</v>
      </c>
      <c r="D71" s="345"/>
      <c r="E71" s="345"/>
      <c r="F71" s="855">
        <f>'1.4'!F70/5499</f>
        <v>9.9010547372249486E-2</v>
      </c>
      <c r="G71" s="855">
        <f>'1.4'!G70/5499</f>
        <v>4.5526095653755233E-2</v>
      </c>
      <c r="H71" s="354">
        <f t="shared" si="15"/>
        <v>0</v>
      </c>
      <c r="I71" s="345"/>
      <c r="J71" s="345"/>
      <c r="K71" s="855">
        <f>'1.4'!K70/5499</f>
        <v>0</v>
      </c>
      <c r="L71" s="855">
        <f>'1.4'!L70/5499</f>
        <v>0</v>
      </c>
      <c r="M71" s="354">
        <f t="shared" si="16"/>
        <v>0</v>
      </c>
      <c r="N71" s="345"/>
      <c r="O71" s="345"/>
      <c r="P71" s="855">
        <f>'1.4'!P70/5499</f>
        <v>0</v>
      </c>
      <c r="Q71" s="855">
        <f>'1.4'!Q70/5499</f>
        <v>0</v>
      </c>
      <c r="R71" s="354">
        <f t="shared" si="17"/>
        <v>0</v>
      </c>
      <c r="S71" s="345"/>
      <c r="T71" s="345"/>
      <c r="U71" s="855">
        <f>'1.4'!U70/5499</f>
        <v>0</v>
      </c>
      <c r="V71" s="855">
        <f>'1.4'!V70/5499</f>
        <v>0</v>
      </c>
      <c r="W71" s="354">
        <f t="shared" si="18"/>
        <v>0</v>
      </c>
      <c r="X71" s="345"/>
      <c r="Y71" s="345"/>
      <c r="Z71" s="855">
        <f>'1.4'!Z70/5499</f>
        <v>0</v>
      </c>
      <c r="AA71" s="855">
        <f>'1.4'!AA70/5499</f>
        <v>0</v>
      </c>
      <c r="AB71" s="354">
        <f t="shared" si="19"/>
        <v>0</v>
      </c>
      <c r="AC71" s="345"/>
      <c r="AD71" s="345"/>
      <c r="AE71" s="855">
        <f>'1.4'!AE70/5499</f>
        <v>0</v>
      </c>
      <c r="AF71" s="855">
        <f>'1.4'!AF70/5499</f>
        <v>0</v>
      </c>
      <c r="AG71" s="360"/>
      <c r="AH71" s="357"/>
      <c r="AI71" s="357"/>
      <c r="AJ71" s="357"/>
      <c r="AK71" s="357"/>
      <c r="AL71" s="360"/>
      <c r="AM71" s="357"/>
      <c r="AN71" s="357"/>
      <c r="AO71" s="357"/>
      <c r="AP71" s="357"/>
      <c r="AQ71" s="360"/>
      <c r="AR71" s="357"/>
      <c r="AS71" s="357"/>
      <c r="AT71" s="357"/>
      <c r="AU71" s="357"/>
      <c r="AV71" s="360"/>
      <c r="AW71" s="357"/>
      <c r="AX71" s="357"/>
      <c r="AY71" s="357"/>
      <c r="AZ71" s="357"/>
    </row>
    <row r="72" spans="1:52" s="342" customFormat="1">
      <c r="A72" s="244" t="s">
        <v>409</v>
      </c>
      <c r="B72" s="351" t="s">
        <v>499</v>
      </c>
      <c r="C72" s="354">
        <f t="shared" si="14"/>
        <v>0</v>
      </c>
      <c r="D72" s="345"/>
      <c r="E72" s="345"/>
      <c r="F72" s="855"/>
      <c r="G72" s="855"/>
      <c r="H72" s="354">
        <f t="shared" si="15"/>
        <v>0</v>
      </c>
      <c r="I72" s="345"/>
      <c r="J72" s="345"/>
      <c r="K72" s="345"/>
      <c r="L72" s="345"/>
      <c r="M72" s="354">
        <f t="shared" si="16"/>
        <v>0</v>
      </c>
      <c r="N72" s="345"/>
      <c r="O72" s="345"/>
      <c r="P72" s="345"/>
      <c r="Q72" s="345"/>
      <c r="R72" s="354">
        <f t="shared" si="17"/>
        <v>0</v>
      </c>
      <c r="S72" s="345"/>
      <c r="T72" s="345"/>
      <c r="U72" s="345"/>
      <c r="V72" s="345"/>
      <c r="W72" s="354">
        <f t="shared" si="18"/>
        <v>0</v>
      </c>
      <c r="X72" s="345"/>
      <c r="Y72" s="345"/>
      <c r="Z72" s="345"/>
      <c r="AA72" s="345"/>
      <c r="AB72" s="354">
        <f t="shared" si="19"/>
        <v>0</v>
      </c>
      <c r="AC72" s="345"/>
      <c r="AD72" s="345"/>
      <c r="AE72" s="345"/>
      <c r="AF72" s="345"/>
      <c r="AG72" s="360"/>
      <c r="AH72" s="357"/>
      <c r="AI72" s="357"/>
      <c r="AJ72" s="357"/>
      <c r="AK72" s="357"/>
      <c r="AL72" s="360"/>
      <c r="AM72" s="357"/>
      <c r="AN72" s="357"/>
      <c r="AO72" s="357"/>
      <c r="AP72" s="357"/>
      <c r="AQ72" s="360"/>
      <c r="AR72" s="357"/>
      <c r="AS72" s="357"/>
      <c r="AT72" s="357"/>
      <c r="AU72" s="357"/>
      <c r="AV72" s="360"/>
      <c r="AW72" s="357"/>
      <c r="AX72" s="357"/>
      <c r="AY72" s="357"/>
      <c r="AZ72" s="357"/>
    </row>
    <row r="73" spans="1:52" s="342" customFormat="1">
      <c r="A73" s="1747"/>
      <c r="B73" s="1747"/>
      <c r="C73" s="364"/>
      <c r="D73" s="364"/>
      <c r="E73" s="364"/>
      <c r="F73" s="364"/>
      <c r="G73" s="364"/>
      <c r="H73" s="364"/>
      <c r="I73" s="364"/>
      <c r="J73" s="364"/>
      <c r="K73" s="364"/>
      <c r="L73" s="364"/>
      <c r="M73" s="364"/>
      <c r="N73" s="364"/>
      <c r="O73" s="364"/>
      <c r="P73" s="364"/>
      <c r="Q73" s="364"/>
      <c r="R73" s="364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4"/>
      <c r="AG73" s="355"/>
      <c r="AH73" s="355"/>
      <c r="AI73" s="355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55"/>
      <c r="AV73" s="355"/>
      <c r="AW73" s="355"/>
      <c r="AX73" s="355"/>
      <c r="AY73" s="355"/>
      <c r="AZ73" s="355"/>
    </row>
    <row r="74" spans="1:52" s="342" customFormat="1">
      <c r="A74" s="379"/>
      <c r="B74" s="380" t="s">
        <v>501</v>
      </c>
      <c r="C74" s="354">
        <f>D74+E74+F74+G74</f>
        <v>4.068112153841545</v>
      </c>
      <c r="D74" s="354">
        <f>D75+D76</f>
        <v>0</v>
      </c>
      <c r="E74" s="354">
        <f>E75+E76</f>
        <v>0</v>
      </c>
      <c r="F74" s="354">
        <f>F75+F76</f>
        <v>1.5412418986637761</v>
      </c>
      <c r="G74" s="354">
        <f>G75+G76</f>
        <v>2.5268702551777693</v>
      </c>
      <c r="H74" s="354">
        <f>I74+J74+K74+L74</f>
        <v>2.9560903697076926</v>
      </c>
      <c r="I74" s="354">
        <f>I75+I76</f>
        <v>0</v>
      </c>
      <c r="J74" s="354">
        <f>J75+J76</f>
        <v>0</v>
      </c>
      <c r="K74" s="354">
        <f>K75+K76</f>
        <v>0.44851900516778259</v>
      </c>
      <c r="L74" s="354">
        <f>L75+L76</f>
        <v>2.5075713645399098</v>
      </c>
      <c r="M74" s="354">
        <f>N74+O74+P74+Q74</f>
        <v>4.1196581196581201</v>
      </c>
      <c r="N74" s="354">
        <f>N75+N76</f>
        <v>0</v>
      </c>
      <c r="O74" s="354">
        <f>O75+O76</f>
        <v>0</v>
      </c>
      <c r="P74" s="354">
        <f>P75+P76</f>
        <v>1.5374575435348865</v>
      </c>
      <c r="Q74" s="354">
        <f>Q75+Q76</f>
        <v>2.5822005761232334</v>
      </c>
      <c r="R74" s="354">
        <f>S74+T74+U74+V74</f>
        <v>4.0457262530413436</v>
      </c>
      <c r="S74" s="354">
        <f>S75+S76</f>
        <v>0</v>
      </c>
      <c r="T74" s="354">
        <f>T75+T76</f>
        <v>0</v>
      </c>
      <c r="U74" s="354">
        <f>U75+U76</f>
        <v>1.4871316289938321</v>
      </c>
      <c r="V74" s="354">
        <f>V75+V76</f>
        <v>2.5585946240475117</v>
      </c>
      <c r="W74" s="354">
        <f>X74+Y74+Z74+AA74</f>
        <v>4.2609090909090899</v>
      </c>
      <c r="X74" s="354">
        <f>X75+X76</f>
        <v>0</v>
      </c>
      <c r="Y74" s="354">
        <f>Y75+Y76</f>
        <v>0</v>
      </c>
      <c r="Z74" s="354">
        <f>Z75+Z76</f>
        <v>1.5901724448625374</v>
      </c>
      <c r="AA74" s="354">
        <f>AA75+AA76</f>
        <v>2.6707366460465529</v>
      </c>
      <c r="AB74" s="354">
        <f>AC74+AD74+AE74+AF74</f>
        <v>4.2354909090909088</v>
      </c>
      <c r="AC74" s="354">
        <f>AC75+AC76</f>
        <v>0</v>
      </c>
      <c r="AD74" s="354">
        <f>AD75+AD76</f>
        <v>0</v>
      </c>
      <c r="AE74" s="354">
        <f>AE75+AE76</f>
        <v>1.4987774648995751</v>
      </c>
      <c r="AF74" s="354">
        <f>AF75+AF76</f>
        <v>2.7367134441913339</v>
      </c>
      <c r="AG74" s="360"/>
      <c r="AH74" s="360"/>
      <c r="AI74" s="360"/>
      <c r="AJ74" s="360"/>
      <c r="AK74" s="360"/>
      <c r="AL74" s="360"/>
      <c r="AM74" s="360"/>
      <c r="AN74" s="360"/>
      <c r="AO74" s="360"/>
      <c r="AP74" s="360"/>
      <c r="AQ74" s="360"/>
      <c r="AR74" s="360"/>
      <c r="AS74" s="360"/>
      <c r="AT74" s="360"/>
      <c r="AU74" s="360"/>
      <c r="AV74" s="360"/>
      <c r="AW74" s="360"/>
      <c r="AX74" s="360"/>
      <c r="AY74" s="360"/>
      <c r="AZ74" s="360"/>
    </row>
    <row r="75" spans="1:52" s="342" customFormat="1">
      <c r="A75" s="379"/>
      <c r="B75" s="380" t="s">
        <v>498</v>
      </c>
      <c r="C75" s="354">
        <f>D75+E75+F75+G75</f>
        <v>2.0305958468950389</v>
      </c>
      <c r="D75" s="354">
        <f>D62+D65+D68+D71</f>
        <v>0</v>
      </c>
      <c r="E75" s="354">
        <f t="shared" ref="E75:G76" si="20">E62+E65+E68+E71</f>
        <v>0</v>
      </c>
      <c r="F75" s="354">
        <f t="shared" si="20"/>
        <v>1.5412418986637761</v>
      </c>
      <c r="G75" s="354">
        <f t="shared" si="20"/>
        <v>0.48935394823126288</v>
      </c>
      <c r="H75" s="354">
        <f>I75+J75+K75+L75</f>
        <v>0.89703801033556518</v>
      </c>
      <c r="I75" s="354">
        <f>I62+I65+I68+I71</f>
        <v>0</v>
      </c>
      <c r="J75" s="354">
        <f t="shared" ref="J75:L76" si="21">J62+J65+J68+J71</f>
        <v>0</v>
      </c>
      <c r="K75" s="354">
        <f t="shared" si="21"/>
        <v>0.44851900516778259</v>
      </c>
      <c r="L75" s="354">
        <f t="shared" si="21"/>
        <v>0.44851900516778259</v>
      </c>
      <c r="M75" s="354">
        <f>N75+O75+P75+Q75</f>
        <v>2.0591679019632445</v>
      </c>
      <c r="N75" s="354">
        <f t="shared" ref="N75:Q76" si="22">N62+N65+N68+N71</f>
        <v>0</v>
      </c>
      <c r="O75" s="354">
        <f t="shared" si="22"/>
        <v>0</v>
      </c>
      <c r="P75" s="354">
        <f t="shared" si="22"/>
        <v>1.5374575435348865</v>
      </c>
      <c r="Q75" s="354">
        <f t="shared" si="22"/>
        <v>0.52171035842835811</v>
      </c>
      <c r="R75" s="354">
        <f>S75+T75+U75+V75</f>
        <v>1.944776955317769</v>
      </c>
      <c r="S75" s="354">
        <f>S62+S65+S68+S71</f>
        <v>0</v>
      </c>
      <c r="T75" s="354">
        <f t="shared" ref="T75:V76" si="23">T62+T65+T68+T71</f>
        <v>0</v>
      </c>
      <c r="U75" s="354">
        <f t="shared" si="23"/>
        <v>1.4871316289938321</v>
      </c>
      <c r="V75" s="354">
        <f t="shared" si="23"/>
        <v>0.45764532632393695</v>
      </c>
      <c r="W75" s="354">
        <f>X75+Y75+Z75+AA75</f>
        <v>2.1297707184283325</v>
      </c>
      <c r="X75" s="354">
        <f t="shared" ref="X75:AA76" si="24">X62+X65+X68+X71</f>
        <v>0</v>
      </c>
      <c r="Y75" s="354">
        <f t="shared" si="24"/>
        <v>0</v>
      </c>
      <c r="Z75" s="354">
        <f t="shared" si="24"/>
        <v>1.5901724448625374</v>
      </c>
      <c r="AA75" s="354">
        <f t="shared" si="24"/>
        <v>0.53959827356579504</v>
      </c>
      <c r="AB75" s="354">
        <f>AC75+AD75+AE75+AF75</f>
        <v>1.9839545144339845</v>
      </c>
      <c r="AC75" s="354">
        <f t="shared" ref="AC75:AF75" si="25">AC62+AC65+AC68+AC71</f>
        <v>0</v>
      </c>
      <c r="AD75" s="354">
        <f t="shared" si="25"/>
        <v>0</v>
      </c>
      <c r="AE75" s="354">
        <f t="shared" si="25"/>
        <v>1.4987774648995751</v>
      </c>
      <c r="AF75" s="354">
        <f t="shared" si="25"/>
        <v>0.48517704953440938</v>
      </c>
      <c r="AG75" s="360"/>
      <c r="AH75" s="360"/>
      <c r="AI75" s="360"/>
      <c r="AJ75" s="360"/>
      <c r="AK75" s="360"/>
      <c r="AL75" s="360"/>
      <c r="AM75" s="360"/>
      <c r="AN75" s="360"/>
      <c r="AO75" s="360"/>
      <c r="AP75" s="360"/>
      <c r="AQ75" s="360"/>
      <c r="AR75" s="360"/>
      <c r="AS75" s="360"/>
      <c r="AT75" s="360"/>
      <c r="AU75" s="360"/>
      <c r="AV75" s="360"/>
      <c r="AW75" s="360"/>
      <c r="AX75" s="360"/>
      <c r="AY75" s="360"/>
      <c r="AZ75" s="360"/>
    </row>
    <row r="76" spans="1:52" s="342" customFormat="1">
      <c r="A76" s="379"/>
      <c r="B76" s="380" t="s">
        <v>499</v>
      </c>
      <c r="C76" s="354">
        <f>D76+E76+F76+G76</f>
        <v>2.0375163069465065</v>
      </c>
      <c r="D76" s="354">
        <f>D63+D66+D69+D72</f>
        <v>0</v>
      </c>
      <c r="E76" s="354">
        <f t="shared" si="20"/>
        <v>0</v>
      </c>
      <c r="F76" s="354">
        <f t="shared" si="20"/>
        <v>0</v>
      </c>
      <c r="G76" s="354">
        <f t="shared" si="20"/>
        <v>2.0375163069465065</v>
      </c>
      <c r="H76" s="354">
        <f>I76+J76+K76+L76</f>
        <v>2.0590523593721271</v>
      </c>
      <c r="I76" s="354">
        <f>I63+I66+I69+I72</f>
        <v>0</v>
      </c>
      <c r="J76" s="354">
        <f t="shared" si="21"/>
        <v>0</v>
      </c>
      <c r="K76" s="354">
        <f t="shared" si="21"/>
        <v>0</v>
      </c>
      <c r="L76" s="354">
        <f t="shared" si="21"/>
        <v>2.0590523593721271</v>
      </c>
      <c r="M76" s="354">
        <f>N76+O76+P76+Q76</f>
        <v>2.0604902176948752</v>
      </c>
      <c r="N76" s="354">
        <f t="shared" si="22"/>
        <v>0</v>
      </c>
      <c r="O76" s="354">
        <f t="shared" si="22"/>
        <v>0</v>
      </c>
      <c r="P76" s="354">
        <f t="shared" si="22"/>
        <v>0</v>
      </c>
      <c r="Q76" s="354">
        <f t="shared" si="22"/>
        <v>2.0604902176948752</v>
      </c>
      <c r="R76" s="354">
        <f>S76+T76+U76+V76</f>
        <v>2.1009492977235746</v>
      </c>
      <c r="S76" s="354">
        <f>S63+S66+S69+S72</f>
        <v>0</v>
      </c>
      <c r="T76" s="354">
        <f t="shared" si="23"/>
        <v>0</v>
      </c>
      <c r="U76" s="354">
        <f t="shared" si="23"/>
        <v>0</v>
      </c>
      <c r="V76" s="354">
        <f t="shared" si="23"/>
        <v>2.1009492977235746</v>
      </c>
      <c r="W76" s="354">
        <f>X76+Y76+Z76+AA76</f>
        <v>2.1311383724807578</v>
      </c>
      <c r="X76" s="354">
        <f t="shared" si="24"/>
        <v>0</v>
      </c>
      <c r="Y76" s="354">
        <f t="shared" si="24"/>
        <v>0</v>
      </c>
      <c r="Z76" s="354">
        <f t="shared" si="24"/>
        <v>0</v>
      </c>
      <c r="AA76" s="354">
        <f t="shared" si="24"/>
        <v>2.1311383724807578</v>
      </c>
      <c r="AB76" s="354">
        <f>AC76+AD76+AE76+AF76</f>
        <v>2.2515363946569247</v>
      </c>
      <c r="AC76" s="354">
        <f t="shared" ref="AC76:AF76" si="26">AC63+AC66+AC69+AC72</f>
        <v>0</v>
      </c>
      <c r="AD76" s="354">
        <f t="shared" si="26"/>
        <v>0</v>
      </c>
      <c r="AE76" s="354">
        <f t="shared" si="26"/>
        <v>0</v>
      </c>
      <c r="AF76" s="354">
        <f t="shared" si="26"/>
        <v>2.2515363946569247</v>
      </c>
      <c r="AG76" s="360"/>
      <c r="AH76" s="360"/>
      <c r="AI76" s="360"/>
      <c r="AJ76" s="360"/>
      <c r="AK76" s="360"/>
      <c r="AL76" s="360"/>
      <c r="AM76" s="360"/>
      <c r="AN76" s="360"/>
      <c r="AO76" s="360"/>
      <c r="AP76" s="360"/>
      <c r="AQ76" s="360"/>
      <c r="AR76" s="360"/>
      <c r="AS76" s="360"/>
      <c r="AT76" s="360"/>
      <c r="AU76" s="360"/>
      <c r="AV76" s="360"/>
      <c r="AW76" s="360"/>
      <c r="AX76" s="360"/>
      <c r="AY76" s="360"/>
      <c r="AZ76" s="360"/>
    </row>
    <row r="77" spans="1:52">
      <c r="AB77" s="361"/>
      <c r="AC77" s="361"/>
      <c r="AD77" s="361"/>
      <c r="AE77" s="361"/>
      <c r="AF77" s="361"/>
      <c r="AG77" s="361"/>
      <c r="AH77" s="361"/>
      <c r="AI77" s="361"/>
      <c r="AJ77" s="361"/>
      <c r="AK77" s="361"/>
      <c r="AL77" s="361"/>
      <c r="AM77" s="361"/>
      <c r="AN77" s="361"/>
      <c r="AO77" s="361"/>
      <c r="AP77" s="361"/>
      <c r="AQ77" s="361"/>
      <c r="AR77" s="361"/>
      <c r="AS77" s="361"/>
      <c r="AT77" s="361"/>
      <c r="AU77" s="361"/>
      <c r="AV77" s="361"/>
      <c r="AW77" s="361"/>
      <c r="AX77" s="361"/>
      <c r="AY77" s="361"/>
      <c r="AZ77" s="361"/>
    </row>
    <row r="78" spans="1:52">
      <c r="AB78" s="361"/>
      <c r="AC78" s="361"/>
      <c r="AD78" s="361"/>
      <c r="AE78" s="361"/>
      <c r="AF78" s="361"/>
      <c r="AG78" s="361"/>
      <c r="AH78" s="361"/>
      <c r="AI78" s="361"/>
      <c r="AJ78" s="361"/>
      <c r="AK78" s="361"/>
      <c r="AL78" s="361"/>
      <c r="AM78" s="361"/>
      <c r="AN78" s="361"/>
      <c r="AO78" s="361"/>
      <c r="AP78" s="361"/>
      <c r="AQ78" s="361"/>
      <c r="AR78" s="361"/>
      <c r="AS78" s="361"/>
      <c r="AT78" s="361"/>
      <c r="AU78" s="361"/>
      <c r="AV78" s="361"/>
      <c r="AW78" s="361"/>
      <c r="AX78" s="361"/>
      <c r="AY78" s="361"/>
      <c r="AZ78" s="361"/>
    </row>
    <row r="79" spans="1:52">
      <c r="AB79" s="361"/>
      <c r="AC79" s="361"/>
      <c r="AD79" s="361"/>
      <c r="AE79" s="361"/>
      <c r="AF79" s="361"/>
      <c r="AG79" s="361"/>
      <c r="AH79" s="361"/>
      <c r="AI79" s="361"/>
      <c r="AJ79" s="361"/>
      <c r="AK79" s="361"/>
      <c r="AL79" s="361"/>
      <c r="AM79" s="361"/>
      <c r="AN79" s="361"/>
      <c r="AO79" s="361"/>
      <c r="AP79" s="361"/>
      <c r="AQ79" s="361"/>
      <c r="AR79" s="361"/>
      <c r="AS79" s="361"/>
      <c r="AT79" s="361"/>
      <c r="AU79" s="361"/>
      <c r="AV79" s="361"/>
      <c r="AW79" s="361"/>
      <c r="AX79" s="361"/>
      <c r="AY79" s="361"/>
      <c r="AZ79" s="361"/>
    </row>
    <row r="80" spans="1:52">
      <c r="AB80" s="361"/>
      <c r="AC80" s="361"/>
      <c r="AD80" s="361"/>
      <c r="AE80" s="361"/>
      <c r="AF80" s="361"/>
      <c r="AG80" s="361"/>
      <c r="AH80" s="361"/>
      <c r="AI80" s="361"/>
      <c r="AJ80" s="361"/>
      <c r="AK80" s="361"/>
      <c r="AL80" s="361"/>
      <c r="AM80" s="361"/>
      <c r="AN80" s="361"/>
      <c r="AO80" s="361"/>
      <c r="AP80" s="361"/>
      <c r="AQ80" s="361"/>
      <c r="AR80" s="361"/>
      <c r="AS80" s="361"/>
      <c r="AT80" s="361"/>
      <c r="AU80" s="361"/>
      <c r="AV80" s="361"/>
      <c r="AW80" s="361"/>
      <c r="AX80" s="361"/>
      <c r="AY80" s="361"/>
      <c r="AZ80" s="361"/>
    </row>
    <row r="90" spans="22:27">
      <c r="V90" s="1008">
        <v>8</v>
      </c>
      <c r="AA90" s="1008">
        <v>8</v>
      </c>
    </row>
  </sheetData>
  <protectedRanges>
    <protectedRange sqref="A42:A48 A53:B56" name="Диапазон1_2"/>
    <protectedRange sqref="A61:B63" name="Диапазон1_1_3"/>
    <protectedRange sqref="B42:B48" name="Диапазон1_1_1"/>
  </protectedRanges>
  <mergeCells count="10">
    <mergeCell ref="AB5:AF5"/>
    <mergeCell ref="W5:AA5"/>
    <mergeCell ref="A73:B73"/>
    <mergeCell ref="A5:A6"/>
    <mergeCell ref="R5:V5"/>
    <mergeCell ref="C5:G5"/>
    <mergeCell ref="H5:L5"/>
    <mergeCell ref="B5:B6"/>
    <mergeCell ref="A58:V59"/>
    <mergeCell ref="M5:Q5"/>
  </mergeCells>
  <phoneticPr fontId="19" type="noConversion"/>
  <printOptions horizontalCentered="1"/>
  <pageMargins left="0.39370078740157483" right="0.27559055118110237" top="0.39370078740157483" bottom="0" header="0" footer="0"/>
  <pageSetup paperSize="9" scale="87" fitToHeight="0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tabColor rgb="FFFFC000"/>
    <pageSetUpPr fitToPage="1"/>
  </sheetPr>
  <dimension ref="A1:U201"/>
  <sheetViews>
    <sheetView workbookViewId="0">
      <pane xSplit="7" ySplit="5" topLeftCell="I100" activePane="bottomRight" state="frozen"/>
      <selection pane="topRight" activeCell="H1" sqref="H1"/>
      <selection pane="bottomLeft" activeCell="A6" sqref="A6"/>
      <selection pane="bottomRight" activeCell="K166" sqref="K166"/>
    </sheetView>
  </sheetViews>
  <sheetFormatPr defaultRowHeight="12.75"/>
  <cols>
    <col min="1" max="1" width="9.140625" style="662"/>
    <col min="2" max="2" width="44" style="662" customWidth="1"/>
    <col min="3" max="4" width="15.5703125" style="662" hidden="1" customWidth="1"/>
    <col min="5" max="5" width="10.85546875" style="908" hidden="1" customWidth="1"/>
    <col min="6" max="7" width="9.140625" hidden="1" customWidth="1"/>
    <col min="8" max="9" width="10.85546875" style="908" customWidth="1"/>
    <col min="10" max="10" width="10.85546875" style="1605" customWidth="1"/>
    <col min="11" max="11" width="12" style="662" customWidth="1"/>
    <col min="12" max="12" width="11.42578125" style="662" customWidth="1"/>
    <col min="13" max="14" width="9.5703125" style="662" customWidth="1"/>
    <col min="15" max="15" width="61.7109375" customWidth="1"/>
    <col min="16" max="16" width="8.7109375" customWidth="1"/>
    <col min="17" max="17" width="11.28515625" customWidth="1"/>
    <col min="18" max="18" width="9.140625" customWidth="1"/>
    <col min="19" max="19" width="22.28515625" customWidth="1"/>
    <col min="21" max="21" width="10.5703125" bestFit="1" customWidth="1"/>
  </cols>
  <sheetData>
    <row r="1" spans="1:21">
      <c r="A1" s="665"/>
      <c r="B1" s="666" t="s">
        <v>1054</v>
      </c>
      <c r="C1" s="667"/>
      <c r="D1" s="667"/>
      <c r="E1" s="877"/>
      <c r="H1" s="877"/>
      <c r="I1" s="877"/>
      <c r="J1" s="666"/>
      <c r="K1" s="666"/>
      <c r="L1" s="666"/>
      <c r="M1" s="666"/>
      <c r="N1" s="666"/>
    </row>
    <row r="2" spans="1:21">
      <c r="A2" s="668"/>
      <c r="B2" s="669" t="str">
        <f>'Реквизиты организации'!C8</f>
        <v>МУ МПЖКХ Гусь-Железный</v>
      </c>
      <c r="C2" s="667"/>
      <c r="D2" s="667"/>
      <c r="E2" s="877"/>
      <c r="H2" s="877"/>
      <c r="I2" s="877"/>
      <c r="J2" s="666"/>
      <c r="K2" s="666"/>
      <c r="L2" s="666"/>
      <c r="M2" s="666"/>
      <c r="N2" s="666"/>
    </row>
    <row r="3" spans="1:21">
      <c r="A3" s="1754"/>
      <c r="B3" s="670" t="s">
        <v>14</v>
      </c>
      <c r="C3" s="667"/>
      <c r="D3" s="667"/>
      <c r="E3" s="877">
        <v>1672.8814610480988</v>
      </c>
      <c r="H3" s="877"/>
      <c r="I3" s="877"/>
      <c r="J3" s="666"/>
      <c r="K3" s="671"/>
      <c r="L3" s="666"/>
      <c r="M3" s="666"/>
      <c r="N3" s="666">
        <f>K61/K161</f>
        <v>2.9877969563138155E-2</v>
      </c>
    </row>
    <row r="4" spans="1:21">
      <c r="A4" s="1754"/>
      <c r="B4" s="1"/>
      <c r="C4" s="23"/>
      <c r="D4" s="23"/>
      <c r="E4" s="878"/>
      <c r="H4" s="878"/>
      <c r="I4" s="878"/>
      <c r="J4" s="1"/>
      <c r="K4" s="1"/>
      <c r="L4" s="1"/>
      <c r="M4" s="1"/>
      <c r="N4" s="1"/>
    </row>
    <row r="5" spans="1:21" ht="36" customHeight="1">
      <c r="A5" s="197"/>
      <c r="B5" s="209" t="s">
        <v>245</v>
      </c>
      <c r="C5" s="208" t="s">
        <v>1220</v>
      </c>
      <c r="D5" s="879" t="s">
        <v>1336</v>
      </c>
      <c r="E5" s="879" t="s">
        <v>900</v>
      </c>
      <c r="F5" s="1070"/>
      <c r="G5" s="208"/>
      <c r="H5" s="1079" t="s">
        <v>923</v>
      </c>
      <c r="I5" s="1079" t="s">
        <v>1375</v>
      </c>
      <c r="J5" s="719" t="s">
        <v>1506</v>
      </c>
      <c r="K5" s="719">
        <v>2022</v>
      </c>
      <c r="L5" s="719">
        <v>2023</v>
      </c>
      <c r="M5" s="719">
        <v>2024</v>
      </c>
      <c r="N5" s="719">
        <v>2025</v>
      </c>
      <c r="O5" s="853" t="s">
        <v>802</v>
      </c>
    </row>
    <row r="6" spans="1:21" ht="38.25" customHeight="1">
      <c r="A6" s="198"/>
      <c r="B6" s="315" t="s">
        <v>24</v>
      </c>
      <c r="C6" s="243"/>
      <c r="D6" s="243">
        <v>0.01</v>
      </c>
      <c r="E6" s="1032">
        <v>0.01</v>
      </c>
      <c r="H6" s="1032">
        <v>0.01</v>
      </c>
      <c r="I6" s="1032"/>
      <c r="J6" s="287">
        <v>0.04</v>
      </c>
      <c r="K6" s="287">
        <v>0.01</v>
      </c>
      <c r="L6" s="287">
        <v>0.01</v>
      </c>
      <c r="M6" s="287">
        <v>0.01</v>
      </c>
      <c r="N6" s="287">
        <v>0.01</v>
      </c>
      <c r="O6" s="741" t="s">
        <v>803</v>
      </c>
      <c r="U6" s="1077"/>
    </row>
    <row r="7" spans="1:21" ht="26.25" customHeight="1">
      <c r="A7" s="198"/>
      <c r="B7" s="315" t="s">
        <v>25</v>
      </c>
      <c r="C7" s="244"/>
      <c r="D7" s="244">
        <v>0.75</v>
      </c>
      <c r="E7" s="543">
        <v>0.75</v>
      </c>
      <c r="H7" s="543">
        <v>0.75</v>
      </c>
      <c r="I7" s="543"/>
      <c r="J7" s="288">
        <v>0.75</v>
      </c>
      <c r="K7" s="288">
        <v>0.75</v>
      </c>
      <c r="L7" s="288">
        <v>0.75</v>
      </c>
      <c r="M7" s="288">
        <v>0.75</v>
      </c>
      <c r="N7" s="288">
        <v>0.75</v>
      </c>
      <c r="O7" s="741" t="s">
        <v>803</v>
      </c>
      <c r="U7" s="1078"/>
    </row>
    <row r="8" spans="1:21" ht="15.75" customHeight="1">
      <c r="A8" s="198"/>
      <c r="B8" s="315" t="s">
        <v>26</v>
      </c>
      <c r="C8" s="676">
        <v>1.0289999999999999</v>
      </c>
      <c r="D8" s="676">
        <v>1.0369999999999999</v>
      </c>
      <c r="E8" s="880">
        <v>1.046</v>
      </c>
      <c r="H8" s="880">
        <v>1.03</v>
      </c>
      <c r="I8" s="880"/>
      <c r="J8" s="1057">
        <v>1.036</v>
      </c>
      <c r="K8" s="1057">
        <v>1.03</v>
      </c>
      <c r="L8" s="1057">
        <v>1.0369999999999999</v>
      </c>
      <c r="M8" s="1057">
        <v>1.04</v>
      </c>
      <c r="N8" s="1057">
        <v>1.04</v>
      </c>
      <c r="O8" s="741" t="s">
        <v>822</v>
      </c>
      <c r="U8" s="1078"/>
    </row>
    <row r="9" spans="1:21" ht="15.75" customHeight="1">
      <c r="A9" s="198"/>
      <c r="B9" s="316" t="s">
        <v>27</v>
      </c>
      <c r="C9" s="881">
        <f>SUM(C10:C13)</f>
        <v>1009.9793750000001</v>
      </c>
      <c r="D9" s="881">
        <v>823.19529999999997</v>
      </c>
      <c r="E9" s="881">
        <v>847.05848000000003</v>
      </c>
      <c r="H9" s="881">
        <v>1013.658175</v>
      </c>
      <c r="I9" s="881">
        <f>'2.1'!P49+'2.2'!S37</f>
        <v>1013.6581750000001</v>
      </c>
      <c r="J9" s="682">
        <v>1017.0751750000001</v>
      </c>
      <c r="K9" s="682">
        <f>SUM(K10:K13)</f>
        <v>1013.658175</v>
      </c>
      <c r="L9" s="682">
        <f>SUM(L10:L13)</f>
        <v>1014.5586750000001</v>
      </c>
      <c r="M9" s="682">
        <f>SUM(M10:M13)</f>
        <v>1014.5586750000001</v>
      </c>
      <c r="N9" s="682">
        <f>SUM(N10:N13)</f>
        <v>1017.0586750000001</v>
      </c>
      <c r="O9" s="741"/>
      <c r="U9" s="1078"/>
    </row>
    <row r="10" spans="1:21" ht="15.75" customHeight="1">
      <c r="A10" s="245"/>
      <c r="B10" s="230" t="s">
        <v>384</v>
      </c>
      <c r="C10" s="297">
        <f>'2.1'!G30+'2.2'!G35</f>
        <v>0</v>
      </c>
      <c r="D10" s="297">
        <v>0</v>
      </c>
      <c r="E10" s="882">
        <v>0</v>
      </c>
      <c r="H10" s="882">
        <v>0</v>
      </c>
      <c r="I10" s="882"/>
      <c r="J10" s="683">
        <v>0</v>
      </c>
      <c r="K10" s="683">
        <f>'2.1'!P30+'2.2'!S35</f>
        <v>0</v>
      </c>
      <c r="L10" s="683">
        <f>'2.1'!S30+'2.2'!V35</f>
        <v>0</v>
      </c>
      <c r="M10" s="683">
        <f>'2.1'!V30+'2.2'!Y35</f>
        <v>0</v>
      </c>
      <c r="N10" s="683">
        <f>'2.1'!Y30+'2.2'!AB35</f>
        <v>0</v>
      </c>
      <c r="O10" s="741"/>
      <c r="U10" s="1078"/>
    </row>
    <row r="11" spans="1:21" ht="15.75" customHeight="1">
      <c r="A11" s="245"/>
      <c r="B11" s="230" t="s">
        <v>394</v>
      </c>
      <c r="C11" s="297">
        <f>'2.1'!G42+'2.2'!G36</f>
        <v>0</v>
      </c>
      <c r="D11" s="297">
        <v>0</v>
      </c>
      <c r="E11" s="882">
        <v>0</v>
      </c>
      <c r="H11" s="882">
        <v>0</v>
      </c>
      <c r="I11" s="882"/>
      <c r="J11" s="683">
        <v>0</v>
      </c>
      <c r="K11" s="683">
        <f>'2.1'!P42+'2.2'!S36</f>
        <v>0</v>
      </c>
      <c r="L11" s="683">
        <f>'2.1'!S42+'2.2'!V36</f>
        <v>0</v>
      </c>
      <c r="M11" s="683">
        <f>'2.1'!V42+'2.2'!Y36</f>
        <v>0</v>
      </c>
      <c r="N11" s="683">
        <f>'2.1'!Y42+'2.2'!AB36</f>
        <v>0</v>
      </c>
      <c r="O11" s="741"/>
      <c r="U11" s="1078"/>
    </row>
    <row r="12" spans="1:21" ht="15.75" customHeight="1">
      <c r="A12" s="245"/>
      <c r="B12" s="230" t="s">
        <v>395</v>
      </c>
      <c r="C12" s="882">
        <f>'2.1'!G43+'2.2'!G37</f>
        <v>610.95939999999996</v>
      </c>
      <c r="D12" s="882">
        <v>368.39929999999998</v>
      </c>
      <c r="E12" s="882">
        <v>444.8066</v>
      </c>
      <c r="H12" s="882">
        <v>614.40869999999995</v>
      </c>
      <c r="I12" s="882"/>
      <c r="J12" s="683">
        <v>617.00220000000002</v>
      </c>
      <c r="K12" s="683">
        <f>'2.1'!P43+'2.2'!S37</f>
        <v>614.40869999999995</v>
      </c>
      <c r="L12" s="683">
        <f>'2.1'!S43+'2.2'!V37</f>
        <v>614.48569999999995</v>
      </c>
      <c r="M12" s="683">
        <f>'2.1'!V43+'2.2'!Y37</f>
        <v>614.48569999999995</v>
      </c>
      <c r="N12" s="683">
        <f>'2.1'!Y43+'2.2'!AB37</f>
        <v>616.98569999999995</v>
      </c>
      <c r="O12" s="741"/>
      <c r="U12" s="1078"/>
    </row>
    <row r="13" spans="1:21" ht="15.75" customHeight="1">
      <c r="A13" s="245"/>
      <c r="B13" s="230" t="s">
        <v>401</v>
      </c>
      <c r="C13" s="882">
        <f>'2.1'!G48</f>
        <v>399.01997500000016</v>
      </c>
      <c r="D13" s="882">
        <v>454.79599999999999</v>
      </c>
      <c r="E13" s="882">
        <v>402.25188000000003</v>
      </c>
      <c r="H13" s="882">
        <v>399.24947500000013</v>
      </c>
      <c r="I13" s="882"/>
      <c r="J13" s="246">
        <v>400.07297500000004</v>
      </c>
      <c r="K13" s="246">
        <f>'2.1'!P48</f>
        <v>399.24947500000013</v>
      </c>
      <c r="L13" s="246">
        <f>'2.1'!S48</f>
        <v>400.07297500000016</v>
      </c>
      <c r="M13" s="246">
        <f>'2.1'!V48</f>
        <v>400.07297500000016</v>
      </c>
      <c r="N13" s="246">
        <f>'2.1'!Y48</f>
        <v>400.07297500000016</v>
      </c>
      <c r="O13" s="741"/>
      <c r="U13" s="1078"/>
    </row>
    <row r="14" spans="1:21" ht="15.75" customHeight="1">
      <c r="A14" s="198"/>
      <c r="B14" s="199" t="s">
        <v>28</v>
      </c>
      <c r="C14" s="543"/>
      <c r="D14" s="543">
        <v>0</v>
      </c>
      <c r="E14" s="543">
        <v>2.8988479404583649E-2</v>
      </c>
      <c r="H14" s="543">
        <v>0.19668027525088941</v>
      </c>
      <c r="I14" s="543"/>
      <c r="J14" s="743">
        <v>3.3709588540535669E-3</v>
      </c>
      <c r="K14" s="743">
        <f>(K9-E9)/E9</f>
        <v>0.19668027525088941</v>
      </c>
      <c r="L14" s="743">
        <f>(L9-K9)/K9</f>
        <v>8.8836653440897771E-4</v>
      </c>
      <c r="M14" s="743">
        <f>(M9-L9)/L9</f>
        <v>0</v>
      </c>
      <c r="N14" s="743">
        <f>(N9-M9)/M9</f>
        <v>2.4641255962845124E-3</v>
      </c>
      <c r="O14" s="741" t="s">
        <v>804</v>
      </c>
      <c r="U14" s="1078"/>
    </row>
    <row r="15" spans="1:21" ht="15.75" customHeight="1">
      <c r="A15" s="198"/>
      <c r="B15" s="200" t="s">
        <v>15</v>
      </c>
      <c r="C15" s="773"/>
      <c r="D15" s="773">
        <v>1.0266299999999999</v>
      </c>
      <c r="E15" s="883">
        <v>1.0580540474719669</v>
      </c>
      <c r="H15" s="883">
        <v>1.170116157504999</v>
      </c>
      <c r="I15" s="883"/>
      <c r="J15" s="207">
        <v>0.99707446562841573</v>
      </c>
      <c r="K15" s="207">
        <f>K8*(1+K7*K14)*(1-K6)</f>
        <v>1.170116157504999</v>
      </c>
      <c r="L15" s="207">
        <f>L8*(1+L7*L14)*(1-L6)</f>
        <v>1.0273140178014153</v>
      </c>
      <c r="M15" s="207">
        <f>M8*(1+M7*M14)*(1-M6)</f>
        <v>1.0296000000000001</v>
      </c>
      <c r="N15" s="247">
        <f>N8*(1+N7*N14)*(1-N6)</f>
        <v>1.031502797785451</v>
      </c>
      <c r="O15" s="741"/>
      <c r="U15" s="1078"/>
    </row>
    <row r="16" spans="1:21" ht="33" customHeight="1">
      <c r="A16" s="198"/>
      <c r="B16" s="199" t="s">
        <v>29</v>
      </c>
      <c r="C16" s="248"/>
      <c r="D16" s="248">
        <v>0.02</v>
      </c>
      <c r="E16" s="884">
        <v>0.02</v>
      </c>
      <c r="H16" s="884">
        <v>0.02</v>
      </c>
      <c r="I16" s="884"/>
      <c r="J16" s="317">
        <v>0.02</v>
      </c>
      <c r="K16" s="317">
        <v>0.02</v>
      </c>
      <c r="L16" s="317">
        <v>0.02</v>
      </c>
      <c r="M16" s="317">
        <v>0.02</v>
      </c>
      <c r="N16" s="317">
        <v>0.02</v>
      </c>
      <c r="O16" s="741"/>
      <c r="Q16" t="s">
        <v>1411</v>
      </c>
      <c r="S16" s="982">
        <f>K18</f>
        <v>30644.581989483868</v>
      </c>
      <c r="U16" s="1078"/>
    </row>
    <row r="17" spans="1:21" ht="15.75" customHeight="1">
      <c r="A17" s="198"/>
      <c r="B17" s="717" t="s">
        <v>86</v>
      </c>
      <c r="C17" s="296"/>
      <c r="D17" s="296"/>
      <c r="E17" s="885"/>
      <c r="H17" s="885"/>
      <c r="I17" s="885"/>
      <c r="J17" s="314"/>
      <c r="K17" s="314"/>
      <c r="L17" s="314"/>
      <c r="M17" s="314"/>
      <c r="N17" s="314"/>
      <c r="O17" s="741"/>
      <c r="S17" s="532">
        <f>K23</f>
        <v>34572.470244948621</v>
      </c>
      <c r="U17" s="1078"/>
    </row>
    <row r="18" spans="1:21" s="1043" customFormat="1" ht="15.75" customHeight="1">
      <c r="A18" s="198"/>
      <c r="B18" s="1049" t="s">
        <v>1228</v>
      </c>
      <c r="C18" s="296"/>
      <c r="D18" s="296">
        <f>'Смета расходов и доходов'!E3</f>
        <v>18235.263000000003</v>
      </c>
      <c r="E18" s="885">
        <f>E23</f>
        <v>24909.794309199373</v>
      </c>
      <c r="H18" s="885">
        <v>25545.44060696449</v>
      </c>
      <c r="I18" s="885"/>
      <c r="J18" s="314">
        <v>25470.706542431551</v>
      </c>
      <c r="K18" s="1115">
        <f>0.7*K23+0.3*K19</f>
        <v>30644.581989483868</v>
      </c>
      <c r="L18" s="1115">
        <f>K18*L15</f>
        <v>31481.608647461562</v>
      </c>
      <c r="M18" s="1115">
        <f>L18*M15</f>
        <v>32413.464263426427</v>
      </c>
      <c r="N18" s="1115">
        <f>M18*N15</f>
        <v>33434.579073643094</v>
      </c>
      <c r="O18" s="1044"/>
      <c r="R18" s="1114">
        <f>K18/E18</f>
        <v>1.2302222013196871</v>
      </c>
      <c r="S18" s="532">
        <f>K44</f>
        <v>11481.880981872735</v>
      </c>
    </row>
    <row r="19" spans="1:21" s="1043" customFormat="1" ht="15.75" customHeight="1">
      <c r="A19" s="198"/>
      <c r="B19" s="1049" t="s">
        <v>1227</v>
      </c>
      <c r="C19" s="296"/>
      <c r="D19" s="296"/>
      <c r="E19" s="885"/>
      <c r="H19" s="885">
        <v>21479.50939339945</v>
      </c>
      <c r="I19" s="885"/>
      <c r="J19" s="314"/>
      <c r="K19" s="1115">
        <v>21479.50939339945</v>
      </c>
      <c r="L19" s="1115"/>
      <c r="M19" s="1115"/>
      <c r="N19" s="1115"/>
      <c r="O19" s="1044"/>
      <c r="S19" s="532">
        <f>K85</f>
        <v>41841.828889114266</v>
      </c>
      <c r="U19" s="1078"/>
    </row>
    <row r="20" spans="1:21" s="1052" customFormat="1" ht="15.75" customHeight="1">
      <c r="A20" s="198"/>
      <c r="B20" s="1049" t="s">
        <v>1232</v>
      </c>
      <c r="C20" s="296"/>
      <c r="D20" s="296"/>
      <c r="E20" s="885"/>
      <c r="H20" s="885">
        <v>1.0692972940086845</v>
      </c>
      <c r="I20" s="885"/>
      <c r="J20" s="314"/>
      <c r="K20" s="1115">
        <v>1.0720000000000001</v>
      </c>
      <c r="L20" s="1115"/>
      <c r="M20" s="1115"/>
      <c r="N20" s="1115"/>
      <c r="O20" s="1053"/>
      <c r="S20" s="532">
        <f>K146</f>
        <v>22010.234282999838</v>
      </c>
      <c r="U20" s="1078"/>
    </row>
    <row r="21" spans="1:21" s="1052" customFormat="1" ht="15.75" customHeight="1">
      <c r="A21" s="198"/>
      <c r="B21" s="1049" t="s">
        <v>1507</v>
      </c>
      <c r="C21" s="296"/>
      <c r="D21" s="296"/>
      <c r="E21" s="885"/>
      <c r="H21" s="885">
        <v>10112.211221122112</v>
      </c>
      <c r="I21" s="885"/>
      <c r="J21" s="314"/>
      <c r="K21" s="1115">
        <f>I59/0.303</f>
        <v>12737.7</v>
      </c>
      <c r="L21" s="1115"/>
      <c r="M21" s="1115"/>
      <c r="N21" s="1115"/>
      <c r="O21" s="1053"/>
      <c r="U21" s="1078"/>
    </row>
    <row r="22" spans="1:21" s="1052" customFormat="1" ht="15.75" customHeight="1">
      <c r="A22" s="198"/>
      <c r="B22" s="1049" t="s">
        <v>1233</v>
      </c>
      <c r="C22" s="296"/>
      <c r="D22" s="296"/>
      <c r="E22" s="885"/>
      <c r="H22" s="885">
        <v>16150.9752381129</v>
      </c>
      <c r="I22" s="885">
        <f>'Смета расходов и доходов'!E7</f>
        <v>12737.7</v>
      </c>
      <c r="J22" s="314">
        <v>16103.725004919155</v>
      </c>
      <c r="K22" s="1115">
        <f>(K21*K20*0.3)+(K27*0.7)</f>
        <v>19872.516234943316</v>
      </c>
      <c r="L22" s="1115">
        <f>K22*L15</f>
        <v>20415.31449714347</v>
      </c>
      <c r="M22" s="1115">
        <f>L22*M15</f>
        <v>21019.607806258919</v>
      </c>
      <c r="N22" s="1115">
        <f>M22*N15</f>
        <v>21681.784260508979</v>
      </c>
      <c r="O22" s="1053"/>
      <c r="U22" s="1078"/>
    </row>
    <row r="23" spans="1:21" ht="15.75" customHeight="1">
      <c r="A23" s="250">
        <v>1</v>
      </c>
      <c r="B23" s="200" t="s">
        <v>1226</v>
      </c>
      <c r="C23" s="295"/>
      <c r="D23" s="295">
        <v>23543.026340400025</v>
      </c>
      <c r="E23" s="886">
        <v>24909.794309199373</v>
      </c>
      <c r="H23" s="886">
        <v>27287.982555635226</v>
      </c>
      <c r="I23" s="886"/>
      <c r="J23" s="663">
        <v>27208.150624737522</v>
      </c>
      <c r="K23" s="1056">
        <f>K24+K27+K28+K42</f>
        <v>34572.470244948621</v>
      </c>
      <c r="L23" s="663">
        <f>K23*L15</f>
        <v>35516.783312658052</v>
      </c>
      <c r="M23" s="663">
        <f>L23*M15</f>
        <v>36568.08009871273</v>
      </c>
      <c r="N23" s="663">
        <f>M23*N15</f>
        <v>37720.076931464653</v>
      </c>
      <c r="O23" s="741"/>
      <c r="P23" s="1071">
        <f t="shared" ref="P23:P62" si="0">K23/E23</f>
        <v>1.3879066930785835</v>
      </c>
      <c r="U23" s="1078"/>
    </row>
    <row r="24" spans="1:21" ht="15.75" customHeight="1">
      <c r="A24" s="197" t="s">
        <v>298</v>
      </c>
      <c r="B24" s="203" t="s">
        <v>52</v>
      </c>
      <c r="C24" s="252"/>
      <c r="D24" s="252">
        <v>5796.2495440690054</v>
      </c>
      <c r="E24" s="887">
        <v>6132.7452902597533</v>
      </c>
      <c r="H24" s="887">
        <v>2558.6510204073998</v>
      </c>
      <c r="I24" s="887"/>
      <c r="J24" s="755"/>
      <c r="K24" s="537">
        <f>K25+K26</f>
        <v>2927.8683635432999</v>
      </c>
      <c r="L24" s="755"/>
      <c r="M24" s="755"/>
      <c r="N24" s="755"/>
      <c r="O24" s="741"/>
      <c r="P24" s="1071">
        <f t="shared" si="0"/>
        <v>0.47741561486231066</v>
      </c>
      <c r="U24" s="1078"/>
    </row>
    <row r="25" spans="1:21" ht="28.5" customHeight="1">
      <c r="A25" s="197" t="s">
        <v>53</v>
      </c>
      <c r="B25" s="203" t="s">
        <v>54</v>
      </c>
      <c r="C25" s="289"/>
      <c r="D25" s="289">
        <v>5104.2274994829704</v>
      </c>
      <c r="E25" s="888">
        <v>5400.5485650456731</v>
      </c>
      <c r="H25" s="888">
        <v>2102.89</v>
      </c>
      <c r="I25" s="888"/>
      <c r="J25" s="755"/>
      <c r="K25" s="1061">
        <f>'Сырье и материалы'!E14</f>
        <v>2485.2453635432998</v>
      </c>
      <c r="L25" s="755"/>
      <c r="M25" s="755"/>
      <c r="N25" s="755"/>
      <c r="O25" s="741" t="s">
        <v>1035</v>
      </c>
      <c r="P25" s="1071">
        <f t="shared" si="0"/>
        <v>0.46018387458428156</v>
      </c>
      <c r="R25" t="s">
        <v>1230</v>
      </c>
      <c r="U25" s="1078"/>
    </row>
    <row r="26" spans="1:21" ht="36" customHeight="1">
      <c r="A26" s="197" t="s">
        <v>55</v>
      </c>
      <c r="B26" s="203" t="s">
        <v>56</v>
      </c>
      <c r="C26" s="289"/>
      <c r="D26" s="289">
        <v>692.02204458603705</v>
      </c>
      <c r="E26" s="888">
        <v>732.19672521408245</v>
      </c>
      <c r="H26" s="1080">
        <v>455.7610204074</v>
      </c>
      <c r="I26" s="1080"/>
      <c r="J26" s="755"/>
      <c r="K26" s="1061">
        <f>'Раб. и усл. произ. хар-ра'!E6</f>
        <v>442.62299999999999</v>
      </c>
      <c r="L26" s="755"/>
      <c r="M26" s="755"/>
      <c r="N26" s="755"/>
      <c r="O26" s="741"/>
      <c r="P26" s="1071">
        <f t="shared" si="0"/>
        <v>0.60451376625671771</v>
      </c>
      <c r="U26" s="1078"/>
    </row>
    <row r="27" spans="1:21" ht="14.25" customHeight="1">
      <c r="A27" s="197" t="s">
        <v>260</v>
      </c>
      <c r="B27" s="203" t="s">
        <v>57</v>
      </c>
      <c r="C27" s="675"/>
      <c r="D27" s="675">
        <v>14860.164726868119</v>
      </c>
      <c r="E27" s="888">
        <v>15722.857435362968</v>
      </c>
      <c r="H27" s="888">
        <v>18438.696013651173</v>
      </c>
      <c r="I27" s="888"/>
      <c r="J27" s="755"/>
      <c r="K27" s="1061">
        <f>'Оплата труда'!G26</f>
        <v>22537.245592776166</v>
      </c>
      <c r="L27" s="755"/>
      <c r="M27" s="755"/>
      <c r="N27" s="755"/>
      <c r="O27" s="764" t="s">
        <v>1036</v>
      </c>
      <c r="P27" s="1071">
        <f t="shared" si="0"/>
        <v>1.4334064711473284</v>
      </c>
      <c r="U27" s="1078"/>
    </row>
    <row r="28" spans="1:21" ht="15.75" customHeight="1">
      <c r="A28" s="197" t="s">
        <v>6</v>
      </c>
      <c r="B28" s="203" t="s">
        <v>58</v>
      </c>
      <c r="C28" s="537"/>
      <c r="D28" s="537">
        <v>2370.5214037321875</v>
      </c>
      <c r="E28" s="537">
        <f>E29+E30+E37+E38+E39+E40+E41</f>
        <v>522.22634525228295</v>
      </c>
      <c r="F28" s="537"/>
      <c r="G28" s="537"/>
      <c r="H28" s="537">
        <f>H29+H30+H37+H38+H39+H40+H41</f>
        <v>5597.4943933066543</v>
      </c>
      <c r="I28" s="537"/>
      <c r="J28" s="755"/>
      <c r="K28" s="1060">
        <f>K29+K30+K37+K38+K39+K40+K41</f>
        <v>8327.9166286291565</v>
      </c>
      <c r="L28" s="755"/>
      <c r="M28" s="755"/>
      <c r="N28" s="755"/>
      <c r="O28" s="741"/>
      <c r="P28" s="1071">
        <f t="shared" si="0"/>
        <v>15.946948491474542</v>
      </c>
      <c r="U28" s="1078"/>
    </row>
    <row r="29" spans="1:21" ht="15.75" customHeight="1">
      <c r="A29" s="197" t="s">
        <v>59</v>
      </c>
      <c r="B29" s="203" t="s">
        <v>44</v>
      </c>
      <c r="C29" s="289"/>
      <c r="D29" s="289">
        <v>0</v>
      </c>
      <c r="E29" s="888">
        <v>0</v>
      </c>
      <c r="H29" s="888">
        <v>4873.4579899999999</v>
      </c>
      <c r="I29" s="888"/>
      <c r="J29" s="755"/>
      <c r="K29" s="1061">
        <f>SUM('Сырье и материалы'!E8:E12)</f>
        <v>7576.9716930336017</v>
      </c>
      <c r="L29" s="755"/>
      <c r="M29" s="756"/>
      <c r="N29" s="755"/>
      <c r="O29" s="741" t="s">
        <v>1037</v>
      </c>
      <c r="P29" s="1071" t="e">
        <f t="shared" si="0"/>
        <v>#DIV/0!</v>
      </c>
      <c r="R29" t="s">
        <v>1231</v>
      </c>
      <c r="U29" s="1078"/>
    </row>
    <row r="30" spans="1:21" ht="15.75" customHeight="1">
      <c r="A30" s="197" t="s">
        <v>60</v>
      </c>
      <c r="B30" s="203" t="s">
        <v>61</v>
      </c>
      <c r="C30" s="537"/>
      <c r="D30" s="537">
        <v>1581.0926342044183</v>
      </c>
      <c r="E30" s="537">
        <f>SUM(E31:E36)</f>
        <v>472.06472057473417</v>
      </c>
      <c r="H30" s="537">
        <f>SUM(H31:H36)</f>
        <v>164.12918150729999</v>
      </c>
      <c r="I30" s="537"/>
      <c r="J30" s="756"/>
      <c r="K30" s="1060">
        <f>SUM(K31:K36)</f>
        <v>166.80630197999997</v>
      </c>
      <c r="L30" s="756"/>
      <c r="M30" s="756"/>
      <c r="N30" s="755"/>
      <c r="O30" s="741"/>
      <c r="P30" s="1071">
        <f t="shared" si="0"/>
        <v>0.35335473020927072</v>
      </c>
      <c r="U30" s="1078"/>
    </row>
    <row r="31" spans="1:21" ht="15.75" customHeight="1">
      <c r="A31" s="197" t="s">
        <v>62</v>
      </c>
      <c r="B31" s="203" t="s">
        <v>63</v>
      </c>
      <c r="C31" s="289">
        <f>1.93496+0.01338+1.88587+0.0446+1.5667+0.06691+1.78357+0.08921+1.74781+0.06245+1.94086+0.02841+2.40815+0.11151+1.82109+0.05394+2.02287+1.96659+1.74265+2.773+2.773+2.773+2.773+2.773+2.773+2.773+2.773+2.773+2.773+2.773+2.773+3.35+0.6</f>
        <v>58.517530000000029</v>
      </c>
      <c r="D31" s="289">
        <v>388.5101347675959</v>
      </c>
      <c r="E31" s="888">
        <v>61</v>
      </c>
      <c r="H31" s="888">
        <v>63.105889527300029</v>
      </c>
      <c r="I31" s="888"/>
      <c r="J31" s="755"/>
      <c r="K31" s="290">
        <f>E31*1.047*1.03</f>
        <v>65.783010000000004</v>
      </c>
      <c r="L31" s="755"/>
      <c r="M31" s="755"/>
      <c r="N31" s="755"/>
      <c r="O31" s="741"/>
      <c r="P31" s="1071">
        <f t="shared" si="0"/>
        <v>1.0784100000000001</v>
      </c>
      <c r="U31" s="1078"/>
    </row>
    <row r="32" spans="1:21" ht="27.75" customHeight="1">
      <c r="A32" s="197" t="s">
        <v>65</v>
      </c>
      <c r="B32" s="203" t="s">
        <v>64</v>
      </c>
      <c r="C32" s="289"/>
      <c r="D32" s="289">
        <v>0</v>
      </c>
      <c r="E32" s="888">
        <v>0</v>
      </c>
      <c r="H32" s="888">
        <v>0</v>
      </c>
      <c r="I32" s="888"/>
      <c r="J32" s="755"/>
      <c r="K32" s="290">
        <v>0</v>
      </c>
      <c r="L32" s="755"/>
      <c r="M32" s="755"/>
      <c r="N32" s="755"/>
      <c r="O32" s="909"/>
      <c r="P32" s="1071" t="e">
        <f t="shared" si="0"/>
        <v>#DIV/0!</v>
      </c>
      <c r="U32" s="1078"/>
    </row>
    <row r="33" spans="1:21" ht="15.75" customHeight="1">
      <c r="A33" s="197" t="s">
        <v>66</v>
      </c>
      <c r="B33" s="203" t="s">
        <v>67</v>
      </c>
      <c r="C33" s="289">
        <f>3.239*12+11.34+11.34+4.8+4.56+7.5+0.99+0.99+0.99+4.8+7.5</f>
        <v>93.677999999999983</v>
      </c>
      <c r="D33" s="289">
        <v>0</v>
      </c>
      <c r="E33" s="888">
        <v>0</v>
      </c>
      <c r="H33" s="888">
        <v>101.02329197999997</v>
      </c>
      <c r="I33" s="888"/>
      <c r="J33" s="755"/>
      <c r="K33" s="984">
        <f>C33*1.047*1.03</f>
        <v>101.02329197999997</v>
      </c>
      <c r="L33" s="755"/>
      <c r="M33" s="755"/>
      <c r="N33" s="755"/>
      <c r="O33" s="741"/>
      <c r="P33" s="1071" t="e">
        <f t="shared" si="0"/>
        <v>#DIV/0!</v>
      </c>
      <c r="U33" s="1078"/>
    </row>
    <row r="34" spans="1:21" ht="15.75" customHeight="1">
      <c r="A34" s="197" t="s">
        <v>68</v>
      </c>
      <c r="B34" s="203" t="s">
        <v>69</v>
      </c>
      <c r="C34" s="289"/>
      <c r="D34" s="289">
        <v>0</v>
      </c>
      <c r="E34" s="888">
        <v>0</v>
      </c>
      <c r="H34" s="888"/>
      <c r="I34" s="888"/>
      <c r="J34" s="755"/>
      <c r="K34" s="984"/>
      <c r="L34" s="755"/>
      <c r="M34" s="755"/>
      <c r="N34" s="755"/>
      <c r="O34" s="741"/>
      <c r="P34" s="1071" t="e">
        <f t="shared" si="0"/>
        <v>#DIV/0!</v>
      </c>
      <c r="U34" s="1078"/>
    </row>
    <row r="35" spans="1:21" ht="15.75" customHeight="1">
      <c r="A35" s="197" t="s">
        <v>70</v>
      </c>
      <c r="B35" s="203" t="s">
        <v>71</v>
      </c>
      <c r="C35" s="289"/>
      <c r="D35" s="289">
        <v>0</v>
      </c>
      <c r="E35" s="888">
        <v>0</v>
      </c>
      <c r="H35" s="888"/>
      <c r="I35" s="888"/>
      <c r="J35" s="755"/>
      <c r="K35" s="984"/>
      <c r="L35" s="755"/>
      <c r="M35" s="755"/>
      <c r="N35" s="755"/>
      <c r="O35" s="741"/>
      <c r="P35" s="1071" t="e">
        <f t="shared" si="0"/>
        <v>#DIV/0!</v>
      </c>
      <c r="U35" s="1078"/>
    </row>
    <row r="36" spans="1:21" ht="15.75" customHeight="1">
      <c r="A36" s="197" t="s">
        <v>72</v>
      </c>
      <c r="B36" s="203" t="s">
        <v>73</v>
      </c>
      <c r="C36" s="289"/>
      <c r="D36" s="289">
        <v>388.5101347675959</v>
      </c>
      <c r="E36" s="888">
        <v>411.06472057473417</v>
      </c>
      <c r="H36" s="888">
        <v>0</v>
      </c>
      <c r="I36" s="888"/>
      <c r="J36" s="755"/>
      <c r="K36" s="985">
        <v>0</v>
      </c>
      <c r="L36" s="755"/>
      <c r="M36" s="755"/>
      <c r="N36" s="755"/>
      <c r="O36" s="741" t="s">
        <v>1038</v>
      </c>
      <c r="P36" s="1071">
        <f t="shared" si="0"/>
        <v>0</v>
      </c>
      <c r="U36" s="1078"/>
    </row>
    <row r="37" spans="1:21" ht="15.75" customHeight="1">
      <c r="A37" s="197" t="s">
        <v>74</v>
      </c>
      <c r="B37" s="203" t="s">
        <v>75</v>
      </c>
      <c r="C37" s="289"/>
      <c r="D37" s="289">
        <v>12.408499992577317</v>
      </c>
      <c r="E37" s="888">
        <v>13.128863640202301</v>
      </c>
      <c r="H37" s="888">
        <v>12.780754992354638</v>
      </c>
      <c r="I37" s="888"/>
      <c r="J37" s="755"/>
      <c r="K37" s="984">
        <f>D37*1.03</f>
        <v>12.780754992354638</v>
      </c>
      <c r="L37" s="755"/>
      <c r="M37" s="755"/>
      <c r="N37" s="755"/>
      <c r="O37" s="741" t="s">
        <v>1038</v>
      </c>
      <c r="P37" s="1071">
        <f t="shared" si="0"/>
        <v>0.9734852415724915</v>
      </c>
      <c r="U37" s="1078"/>
    </row>
    <row r="38" spans="1:21" ht="15.75" customHeight="1">
      <c r="A38" s="197" t="s">
        <v>76</v>
      </c>
      <c r="B38" s="203" t="s">
        <v>77</v>
      </c>
      <c r="C38" s="289">
        <f>7.2+29.4+5+12+3+5+1.5+12+3+12</f>
        <v>90.1</v>
      </c>
      <c r="D38" s="289">
        <v>0</v>
      </c>
      <c r="E38" s="888">
        <v>0</v>
      </c>
      <c r="H38" s="888">
        <v>97.164740999999992</v>
      </c>
      <c r="I38" s="888"/>
      <c r="J38" s="755"/>
      <c r="K38" s="1061">
        <f>C38*1.047*1.03</f>
        <v>97.164740999999992</v>
      </c>
      <c r="L38" s="755"/>
      <c r="M38" s="755"/>
      <c r="N38" s="755"/>
      <c r="O38" s="741"/>
      <c r="P38" s="1071" t="e">
        <f t="shared" si="0"/>
        <v>#DIV/0!</v>
      </c>
      <c r="U38" s="1078"/>
    </row>
    <row r="39" spans="1:21" ht="27" customHeight="1">
      <c r="A39" s="197" t="s">
        <v>78</v>
      </c>
      <c r="B39" s="203" t="s">
        <v>79</v>
      </c>
      <c r="C39" s="289"/>
      <c r="D39" s="289">
        <v>35.000821674308291</v>
      </c>
      <c r="E39" s="888">
        <v>37.032761037346432</v>
      </c>
      <c r="H39" s="888">
        <v>375.12311292319998</v>
      </c>
      <c r="I39" s="888"/>
      <c r="J39" s="755"/>
      <c r="K39" s="1061">
        <f>360.44+(0.6072+0.6875+0.6072+0.6875+0.6072+0.6875+0.6072+0.6875+0.79892+0.6072+0.6072+0.79892+0.6072+0.6072+0.79892+0.79892+0.79892+0.6072+0.79892+0.6072)*1.047*1.03</f>
        <v>375.12311292319998</v>
      </c>
      <c r="L39" s="755"/>
      <c r="M39" s="755"/>
      <c r="N39" s="755"/>
      <c r="O39" s="741" t="s">
        <v>1242</v>
      </c>
      <c r="P39" s="1071">
        <f t="shared" si="0"/>
        <v>10.129493519127552</v>
      </c>
      <c r="U39" s="1078"/>
    </row>
    <row r="40" spans="1:21" ht="15.75" customHeight="1">
      <c r="A40" s="197" t="s">
        <v>80</v>
      </c>
      <c r="B40" s="203" t="s">
        <v>81</v>
      </c>
      <c r="C40" s="289"/>
      <c r="D40" s="289">
        <v>0</v>
      </c>
      <c r="E40" s="888">
        <v>0</v>
      </c>
      <c r="H40" s="888"/>
      <c r="I40" s="888"/>
      <c r="J40" s="755"/>
      <c r="K40" s="290"/>
      <c r="L40" s="755"/>
      <c r="M40" s="755"/>
      <c r="N40" s="755"/>
      <c r="O40" s="741"/>
      <c r="P40" s="1071" t="e">
        <f t="shared" si="0"/>
        <v>#DIV/0!</v>
      </c>
      <c r="U40" s="1078"/>
    </row>
    <row r="41" spans="1:21" ht="15.75" customHeight="1">
      <c r="A41" s="197" t="s">
        <v>82</v>
      </c>
      <c r="B41" s="203" t="s">
        <v>83</v>
      </c>
      <c r="C41" s="289"/>
      <c r="D41" s="289">
        <v>0</v>
      </c>
      <c r="E41" s="888">
        <v>0</v>
      </c>
      <c r="H41" s="888">
        <v>74.838612883799996</v>
      </c>
      <c r="I41" s="888"/>
      <c r="J41" s="755"/>
      <c r="K41" s="1061">
        <f>'Другие прочие и подконтрольные '!D6</f>
        <v>99.070024700000005</v>
      </c>
      <c r="L41" s="755"/>
      <c r="M41" s="755"/>
      <c r="N41" s="755"/>
      <c r="O41" s="741" t="s">
        <v>1038</v>
      </c>
      <c r="P41" s="1071" t="e">
        <f t="shared" si="0"/>
        <v>#DIV/0!</v>
      </c>
      <c r="U41" s="1078"/>
    </row>
    <row r="42" spans="1:21" ht="15.75" customHeight="1">
      <c r="A42" s="197" t="s">
        <v>7</v>
      </c>
      <c r="B42" s="203" t="s">
        <v>84</v>
      </c>
      <c r="C42" s="289"/>
      <c r="D42" s="289">
        <v>516.09066573071095</v>
      </c>
      <c r="E42" s="876">
        <v>546.05181773888057</v>
      </c>
      <c r="H42" s="876">
        <v>693.14112827000008</v>
      </c>
      <c r="I42" s="876"/>
      <c r="J42" s="755">
        <v>646.98056130240366</v>
      </c>
      <c r="K42" s="1061">
        <f>'Другие прочие и подконтрольные '!E21</f>
        <v>779.43966</v>
      </c>
      <c r="L42" s="755">
        <f>K42*K18/K23*L15</f>
        <v>709.75588861822064</v>
      </c>
      <c r="M42" s="755">
        <f t="shared" ref="M42:N42" si="1">L42*L18/L23*M15</f>
        <v>647.74016635915439</v>
      </c>
      <c r="N42" s="755">
        <f t="shared" si="1"/>
        <v>592.23562606646794</v>
      </c>
      <c r="O42" s="741"/>
      <c r="P42" s="1071">
        <f t="shared" si="0"/>
        <v>1.4274096975403248</v>
      </c>
      <c r="U42" s="1078"/>
    </row>
    <row r="43" spans="1:21" ht="15.75" customHeight="1">
      <c r="A43" s="197"/>
      <c r="B43" s="718" t="s">
        <v>87</v>
      </c>
      <c r="C43" s="295"/>
      <c r="D43" s="295"/>
      <c r="E43" s="890"/>
      <c r="H43" s="890"/>
      <c r="I43" s="890"/>
      <c r="J43" s="663"/>
      <c r="K43" s="538"/>
      <c r="L43" s="663"/>
      <c r="M43" s="663"/>
      <c r="N43" s="663"/>
      <c r="O43" s="741"/>
      <c r="P43" s="1071" t="e">
        <f t="shared" si="0"/>
        <v>#DIV/0!</v>
      </c>
      <c r="U43" s="1078"/>
    </row>
    <row r="44" spans="1:21" ht="15.75" customHeight="1">
      <c r="A44" s="250">
        <v>2</v>
      </c>
      <c r="B44" s="200" t="s">
        <v>31</v>
      </c>
      <c r="C44" s="295"/>
      <c r="D44" s="295">
        <v>7007.2757992410397</v>
      </c>
      <c r="E44" s="890">
        <v>7373.8819269003725</v>
      </c>
      <c r="H44" s="890">
        <v>8577.0454225761059</v>
      </c>
      <c r="I44" s="890"/>
      <c r="J44" s="672">
        <v>8505.4769887556322</v>
      </c>
      <c r="K44" s="1062">
        <f>K45+K48+K49+K50+K51+K59+K60+K61+K62+K63+K68</f>
        <v>11481.880981872735</v>
      </c>
      <c r="L44" s="672">
        <f>L45+L48+L49+L50+L51+L59+L60+L61+L62+L63+L68</f>
        <v>11417.180784339384</v>
      </c>
      <c r="M44" s="672">
        <f>M45+M48+M49+M50+M51+M59+M60+M61+M62+M63+M68</f>
        <v>11607.923528276362</v>
      </c>
      <c r="N44" s="672">
        <f>N45+N48+N49+N50+N51+N59+N60+N61+N62+N63+N68</f>
        <v>11816.498029410355</v>
      </c>
      <c r="O44" s="741"/>
      <c r="P44" s="744">
        <f t="shared" si="0"/>
        <v>1.5571012793120718</v>
      </c>
      <c r="U44" s="1078"/>
    </row>
    <row r="45" spans="1:21" ht="15.75" customHeight="1">
      <c r="A45" s="197" t="s">
        <v>247</v>
      </c>
      <c r="B45" s="203" t="s">
        <v>88</v>
      </c>
      <c r="C45" s="289"/>
      <c r="D45" s="289"/>
      <c r="E45" s="888"/>
      <c r="H45" s="888">
        <v>0</v>
      </c>
      <c r="I45" s="888"/>
      <c r="J45" s="289">
        <v>0</v>
      </c>
      <c r="K45" s="289">
        <f>'Оплата услуг ФСК'!F17</f>
        <v>0</v>
      </c>
      <c r="L45" s="289">
        <f t="shared" ref="L45:N47" si="2">K45*L$15</f>
        <v>0</v>
      </c>
      <c r="M45" s="289">
        <f t="shared" si="2"/>
        <v>0</v>
      </c>
      <c r="N45" s="289">
        <f t="shared" si="2"/>
        <v>0</v>
      </c>
      <c r="O45" s="741" t="s">
        <v>1039</v>
      </c>
      <c r="P45" s="1071" t="e">
        <f t="shared" si="0"/>
        <v>#DIV/0!</v>
      </c>
      <c r="U45" s="1078"/>
    </row>
    <row r="46" spans="1:21" ht="15.75" customHeight="1">
      <c r="A46" s="197"/>
      <c r="B46" s="203" t="s">
        <v>509</v>
      </c>
      <c r="C46" s="289"/>
      <c r="D46" s="289"/>
      <c r="E46" s="888"/>
      <c r="H46" s="888">
        <v>0</v>
      </c>
      <c r="I46" s="888"/>
      <c r="J46" s="289">
        <v>0</v>
      </c>
      <c r="K46" s="289">
        <f>'Оплата услуг ФСК'!D17</f>
        <v>0</v>
      </c>
      <c r="L46" s="289">
        <f t="shared" si="2"/>
        <v>0</v>
      </c>
      <c r="M46" s="289">
        <f t="shared" si="2"/>
        <v>0</v>
      </c>
      <c r="N46" s="289">
        <f t="shared" si="2"/>
        <v>0</v>
      </c>
      <c r="O46" s="741"/>
      <c r="P46" s="1071" t="e">
        <f t="shared" si="0"/>
        <v>#DIV/0!</v>
      </c>
      <c r="U46" s="1078"/>
    </row>
    <row r="47" spans="1:21" ht="15.75" customHeight="1">
      <c r="A47" s="197"/>
      <c r="B47" s="203" t="s">
        <v>510</v>
      </c>
      <c r="C47" s="289"/>
      <c r="D47" s="289"/>
      <c r="E47" s="888"/>
      <c r="H47" s="888">
        <v>0</v>
      </c>
      <c r="I47" s="888"/>
      <c r="J47" s="289">
        <v>0</v>
      </c>
      <c r="K47" s="289">
        <f>'Оплата услуг ФСК'!E17</f>
        <v>0</v>
      </c>
      <c r="L47" s="289">
        <f t="shared" si="2"/>
        <v>0</v>
      </c>
      <c r="M47" s="289">
        <f t="shared" si="2"/>
        <v>0</v>
      </c>
      <c r="N47" s="289">
        <f t="shared" si="2"/>
        <v>0</v>
      </c>
      <c r="O47" s="741"/>
      <c r="P47" s="1071" t="e">
        <f t="shared" si="0"/>
        <v>#DIV/0!</v>
      </c>
      <c r="U47" s="1078"/>
    </row>
    <row r="48" spans="1:21" ht="15.75" customHeight="1">
      <c r="A48" s="197" t="s">
        <v>248</v>
      </c>
      <c r="B48" s="203" t="s">
        <v>89</v>
      </c>
      <c r="C48" s="289">
        <f>5.52664+5.99651+5.24999+4.62158+4.47922+4.92957+5.50226+5.83637+5.16827+5.92739+5.75552</f>
        <v>58.993319999999997</v>
      </c>
      <c r="D48" s="289"/>
      <c r="E48" s="888"/>
      <c r="H48" s="888">
        <v>63.618986221199997</v>
      </c>
      <c r="I48" s="888">
        <f>'Смета расходов и доходов'!E28</f>
        <v>67.06</v>
      </c>
      <c r="J48" s="289">
        <v>22.497280000000003</v>
      </c>
      <c r="K48" s="1063">
        <f>'Сводная 2020'!BV39*1.03</f>
        <v>69.07180000000001</v>
      </c>
      <c r="L48" s="289">
        <f>K48*1.035</f>
        <v>71.48931300000001</v>
      </c>
      <c r="M48" s="289">
        <f>L48*1.035</f>
        <v>73.991438955000007</v>
      </c>
      <c r="N48" s="289">
        <f>M48*1.035</f>
        <v>76.581139318425002</v>
      </c>
      <c r="O48" s="741"/>
      <c r="P48" s="1071" t="e">
        <f t="shared" si="0"/>
        <v>#DIV/0!</v>
      </c>
      <c r="U48" s="1078"/>
    </row>
    <row r="49" spans="1:21" ht="15.75" customHeight="1">
      <c r="A49" s="197" t="s">
        <v>19</v>
      </c>
      <c r="B49" s="203" t="s">
        <v>487</v>
      </c>
      <c r="C49" s="289"/>
      <c r="D49" s="289"/>
      <c r="E49" s="888">
        <v>5.7169999999999996</v>
      </c>
      <c r="H49" s="888">
        <v>75.359380000000002</v>
      </c>
      <c r="I49" s="888"/>
      <c r="J49" s="1063">
        <v>51.119843086956912</v>
      </c>
      <c r="K49" s="1063">
        <f>'Сводная 2020'!BV42*1.03</f>
        <v>123.90900000000002</v>
      </c>
      <c r="L49" s="289">
        <f>K49*L8</f>
        <v>128.49363300000002</v>
      </c>
      <c r="M49" s="289">
        <f>L49*M8</f>
        <v>133.63337832000002</v>
      </c>
      <c r="N49" s="289">
        <f>M49*N8</f>
        <v>138.97871345280004</v>
      </c>
      <c r="O49" s="741" t="s">
        <v>1040</v>
      </c>
      <c r="P49" s="1071">
        <f t="shared" si="0"/>
        <v>21.673779954521606</v>
      </c>
      <c r="U49" s="1078"/>
    </row>
    <row r="50" spans="1:21" ht="15.75" customHeight="1">
      <c r="A50" s="197" t="s">
        <v>20</v>
      </c>
      <c r="B50" s="203" t="s">
        <v>596</v>
      </c>
      <c r="C50" s="289" t="e">
        <f>#REF!</f>
        <v>#REF!</v>
      </c>
      <c r="D50" s="289">
        <v>508.48101000000003</v>
      </c>
      <c r="E50" s="888">
        <v>5.7169999999999996</v>
      </c>
      <c r="H50" s="888">
        <v>339.41999999999996</v>
      </c>
      <c r="I50" s="888"/>
      <c r="J50" s="1063">
        <v>320.09035</v>
      </c>
      <c r="K50" s="1063">
        <f>J50</f>
        <v>320.09035</v>
      </c>
      <c r="L50" s="289">
        <f>K50</f>
        <v>320.09035</v>
      </c>
      <c r="M50" s="289">
        <f>L50</f>
        <v>320.09035</v>
      </c>
      <c r="N50" s="289">
        <f>M50</f>
        <v>320.09035</v>
      </c>
      <c r="O50" s="741" t="s">
        <v>1041</v>
      </c>
      <c r="P50" s="1071">
        <f t="shared" si="0"/>
        <v>55.989216372223197</v>
      </c>
      <c r="U50" s="1078"/>
    </row>
    <row r="51" spans="1:21" ht="15.75" customHeight="1">
      <c r="A51" s="197" t="s">
        <v>21</v>
      </c>
      <c r="B51" s="203" t="s">
        <v>90</v>
      </c>
      <c r="C51" s="539"/>
      <c r="D51" s="539">
        <v>47.328400000000002</v>
      </c>
      <c r="E51" s="891">
        <v>53.488399999999999</v>
      </c>
      <c r="H51" s="891">
        <v>92.959460759252195</v>
      </c>
      <c r="I51" s="891"/>
      <c r="J51" s="539">
        <v>93.377670057595623</v>
      </c>
      <c r="K51" s="1064">
        <f>SUM(K52:K58)</f>
        <v>58</v>
      </c>
      <c r="L51" s="539">
        <f>SUM(L52:L58)</f>
        <v>58</v>
      </c>
      <c r="M51" s="539">
        <f>SUM(M52:M58)</f>
        <v>58</v>
      </c>
      <c r="N51" s="539">
        <f>SUM(N52:N58)</f>
        <v>58</v>
      </c>
      <c r="O51" s="741"/>
      <c r="P51" s="1071">
        <f t="shared" si="0"/>
        <v>1.0843472603405599</v>
      </c>
      <c r="U51" s="1078"/>
    </row>
    <row r="52" spans="1:21" ht="15.75" customHeight="1">
      <c r="A52" s="197" t="s">
        <v>91</v>
      </c>
      <c r="B52" s="203" t="s">
        <v>92</v>
      </c>
      <c r="C52" s="289">
        <f>'Плата за землю'!C6</f>
        <v>58</v>
      </c>
      <c r="D52" s="289">
        <v>18</v>
      </c>
      <c r="E52" s="888">
        <v>25</v>
      </c>
      <c r="H52" s="888">
        <v>39.695810759252197</v>
      </c>
      <c r="I52" s="888">
        <v>58</v>
      </c>
      <c r="J52" s="289">
        <v>41.914420057595628</v>
      </c>
      <c r="K52" s="1063">
        <v>58</v>
      </c>
      <c r="L52" s="289">
        <f>K52</f>
        <v>58</v>
      </c>
      <c r="M52" s="289">
        <f>L52</f>
        <v>58</v>
      </c>
      <c r="N52" s="289">
        <f>M52</f>
        <v>58</v>
      </c>
      <c r="O52" s="741" t="s">
        <v>1042</v>
      </c>
      <c r="P52" s="1071">
        <f t="shared" si="0"/>
        <v>2.3199999999999998</v>
      </c>
      <c r="U52" s="1078"/>
    </row>
    <row r="53" spans="1:21" ht="53.25" customHeight="1">
      <c r="A53" s="197" t="s">
        <v>93</v>
      </c>
      <c r="B53" s="203" t="s">
        <v>94</v>
      </c>
      <c r="C53" s="289"/>
      <c r="D53" s="289"/>
      <c r="E53" s="888"/>
      <c r="H53" s="888">
        <v>0</v>
      </c>
      <c r="I53" s="888"/>
      <c r="J53" s="289">
        <v>0</v>
      </c>
      <c r="K53" s="289">
        <f>'Налог на имущество'!D10</f>
        <v>0</v>
      </c>
      <c r="L53" s="289">
        <f>'Налог на имущество'!E10</f>
        <v>0</v>
      </c>
      <c r="M53" s="289">
        <f>'Налог на имущество'!F10</f>
        <v>0</v>
      </c>
      <c r="N53" s="289">
        <f>'Налог на имущество'!G10</f>
        <v>0</v>
      </c>
      <c r="O53" s="766" t="s">
        <v>1044</v>
      </c>
      <c r="P53" s="1071" t="e">
        <f t="shared" si="0"/>
        <v>#DIV/0!</v>
      </c>
      <c r="U53" s="1078"/>
    </row>
    <row r="54" spans="1:21" ht="11.25" customHeight="1">
      <c r="A54" s="197"/>
      <c r="B54" s="230" t="s">
        <v>384</v>
      </c>
      <c r="C54" s="252"/>
      <c r="D54" s="252"/>
      <c r="E54" s="887"/>
      <c r="H54" s="887"/>
      <c r="I54" s="887"/>
      <c r="J54" s="249"/>
      <c r="K54" s="249"/>
      <c r="L54" s="249"/>
      <c r="M54" s="249"/>
      <c r="N54" s="249"/>
      <c r="O54" s="741"/>
      <c r="P54" s="1071" t="e">
        <f t="shared" si="0"/>
        <v>#DIV/0!</v>
      </c>
      <c r="U54" s="1078"/>
    </row>
    <row r="55" spans="1:21" ht="11.25" customHeight="1">
      <c r="A55" s="197"/>
      <c r="B55" s="230" t="s">
        <v>394</v>
      </c>
      <c r="C55" s="252"/>
      <c r="D55" s="252"/>
      <c r="E55" s="887"/>
      <c r="H55" s="887"/>
      <c r="I55" s="887"/>
      <c r="J55" s="249"/>
      <c r="K55" s="249"/>
      <c r="L55" s="249"/>
      <c r="M55" s="249"/>
      <c r="N55" s="249"/>
      <c r="O55" s="741"/>
      <c r="P55" s="1071" t="e">
        <f t="shared" si="0"/>
        <v>#DIV/0!</v>
      </c>
      <c r="U55" s="1078"/>
    </row>
    <row r="56" spans="1:21" ht="11.25" customHeight="1">
      <c r="A56" s="197"/>
      <c r="B56" s="230" t="s">
        <v>395</v>
      </c>
      <c r="C56" s="252"/>
      <c r="D56" s="252"/>
      <c r="E56" s="887"/>
      <c r="H56" s="887"/>
      <c r="I56" s="887"/>
      <c r="J56" s="249"/>
      <c r="K56" s="249"/>
      <c r="L56" s="249"/>
      <c r="M56" s="249"/>
      <c r="N56" s="249"/>
      <c r="O56" s="741"/>
      <c r="P56" s="1071" t="e">
        <f t="shared" si="0"/>
        <v>#DIV/0!</v>
      </c>
      <c r="U56" s="1078"/>
    </row>
    <row r="57" spans="1:21" ht="11.25" customHeight="1">
      <c r="A57" s="197"/>
      <c r="B57" s="230" t="s">
        <v>401</v>
      </c>
      <c r="C57" s="252"/>
      <c r="D57" s="252"/>
      <c r="E57" s="887"/>
      <c r="H57" s="887"/>
      <c r="I57" s="887"/>
      <c r="J57" s="249"/>
      <c r="K57" s="249"/>
      <c r="L57" s="249"/>
      <c r="M57" s="249"/>
      <c r="N57" s="249"/>
      <c r="O57" s="741"/>
      <c r="P57" s="1071" t="e">
        <f t="shared" si="0"/>
        <v>#DIV/0!</v>
      </c>
      <c r="U57" s="1078"/>
    </row>
    <row r="58" spans="1:21" ht="27.75" customHeight="1">
      <c r="A58" s="197" t="s">
        <v>95</v>
      </c>
      <c r="B58" s="203" t="s">
        <v>96</v>
      </c>
      <c r="C58" s="289">
        <f>'Транс. налог'!K34+'негативное воздействие '!C10+'прочие налоги и сборы'!C8</f>
        <v>53.263649999999998</v>
      </c>
      <c r="D58" s="289">
        <v>29.328400000000002</v>
      </c>
      <c r="E58" s="888">
        <v>28.488400000000002</v>
      </c>
      <c r="H58" s="888">
        <v>53.263649999999998</v>
      </c>
      <c r="I58" s="888"/>
      <c r="J58" s="1063">
        <v>51.463250000000002</v>
      </c>
      <c r="K58" s="1063">
        <f>'Транс. налог'!P34+'негативное воздействие '!F10+'прочие налоги и сборы'!F8</f>
        <v>0</v>
      </c>
      <c r="L58" s="289">
        <f>K58</f>
        <v>0</v>
      </c>
      <c r="M58" s="289">
        <f>L58</f>
        <v>0</v>
      </c>
      <c r="N58" s="289">
        <f>M58</f>
        <v>0</v>
      </c>
      <c r="O58" s="741" t="s">
        <v>1043</v>
      </c>
      <c r="P58" s="1071">
        <f t="shared" si="0"/>
        <v>0</v>
      </c>
      <c r="U58" s="1078"/>
    </row>
    <row r="59" spans="1:21" ht="15.75" customHeight="1">
      <c r="A59" s="197" t="s">
        <v>22</v>
      </c>
      <c r="B59" s="203" t="s">
        <v>97</v>
      </c>
      <c r="C59" s="289">
        <v>3064</v>
      </c>
      <c r="D59" s="289">
        <v>4502.6299122410401</v>
      </c>
      <c r="E59" s="888">
        <v>4764.0258029149791</v>
      </c>
      <c r="H59" s="888">
        <v>5002.6201830088985</v>
      </c>
      <c r="I59" s="888">
        <f>'Смета расходов и доходов'!$E$35</f>
        <v>3859.5230999999999</v>
      </c>
      <c r="J59" s="1063">
        <v>5024.6058839613061</v>
      </c>
      <c r="K59" s="1063">
        <f>K22*0.303+'прочие НР'!D6+'прочие НР'!D7</f>
        <v>6257.5426361678246</v>
      </c>
      <c r="L59" s="975">
        <f>L22*0.303+L42*0.303*'Другие прочие и подконтрольные '!J21</f>
        <v>6185.8402926344716</v>
      </c>
      <c r="M59" s="975">
        <f>M22*0.303+M42*0.303*'Другие прочие и подконтрольные '!J21</f>
        <v>6368.9411652964518</v>
      </c>
      <c r="N59" s="975">
        <f>N22*0.303+N42*0.303*'Другие прочие и подконтрольные '!J21</f>
        <v>6569.5806309342206</v>
      </c>
      <c r="O59" s="741" t="s">
        <v>1044</v>
      </c>
      <c r="P59" s="1071">
        <f t="shared" si="0"/>
        <v>1.3134988967396026</v>
      </c>
      <c r="U59" s="1078"/>
    </row>
    <row r="60" spans="1:21" ht="15.75" customHeight="1">
      <c r="A60" s="197" t="s">
        <v>99</v>
      </c>
      <c r="B60" s="203" t="s">
        <v>98</v>
      </c>
      <c r="C60" s="289"/>
      <c r="D60" s="289"/>
      <c r="E60" s="888"/>
      <c r="H60" s="888">
        <v>0</v>
      </c>
      <c r="I60" s="888"/>
      <c r="J60" s="289">
        <v>0</v>
      </c>
      <c r="K60" s="289">
        <v>0</v>
      </c>
      <c r="L60" s="289">
        <f>K60*L$15</f>
        <v>0</v>
      </c>
      <c r="M60" s="289">
        <f>L60*M$15</f>
        <v>0</v>
      </c>
      <c r="N60" s="289">
        <f>M60*N$15</f>
        <v>0</v>
      </c>
      <c r="O60" s="741" t="s">
        <v>1038</v>
      </c>
      <c r="P60" s="1071" t="e">
        <f t="shared" si="0"/>
        <v>#DIV/0!</v>
      </c>
      <c r="U60" s="1078"/>
    </row>
    <row r="61" spans="1:21" ht="14.25" customHeight="1">
      <c r="A61" s="197" t="s">
        <v>100</v>
      </c>
      <c r="B61" s="4" t="s">
        <v>1205</v>
      </c>
      <c r="C61" s="888">
        <f>1727*44846/65525</f>
        <v>1181.9769858832506</v>
      </c>
      <c r="D61" s="888">
        <v>1111</v>
      </c>
      <c r="E61" s="888">
        <v>1111</v>
      </c>
      <c r="H61" s="888">
        <v>1181.9769858832506</v>
      </c>
      <c r="I61" s="888"/>
      <c r="J61" s="289">
        <v>1176.3622016497729</v>
      </c>
      <c r="K61" s="1259">
        <v>1907.77</v>
      </c>
      <c r="L61" s="289">
        <f>K61</f>
        <v>1907.77</v>
      </c>
      <c r="M61" s="289">
        <f>L61</f>
        <v>1907.77</v>
      </c>
      <c r="N61" s="289">
        <f>M61</f>
        <v>1907.77</v>
      </c>
      <c r="O61" s="742" t="s">
        <v>1045</v>
      </c>
      <c r="P61" s="982"/>
      <c r="Q61" s="982"/>
      <c r="U61" s="1078"/>
    </row>
    <row r="62" spans="1:21" ht="28.5" customHeight="1">
      <c r="A62" s="197" t="s">
        <v>102</v>
      </c>
      <c r="B62" s="285" t="s">
        <v>667</v>
      </c>
      <c r="C62" s="289"/>
      <c r="D62" s="289"/>
      <c r="E62" s="888"/>
      <c r="H62" s="888"/>
      <c r="I62" s="888"/>
      <c r="J62" s="289"/>
      <c r="K62" s="289"/>
      <c r="L62" s="289"/>
      <c r="M62" s="289"/>
      <c r="N62" s="289"/>
      <c r="O62" s="764" t="s">
        <v>1049</v>
      </c>
      <c r="P62" s="1071" t="e">
        <f t="shared" si="0"/>
        <v>#DIV/0!</v>
      </c>
      <c r="U62" s="1078"/>
    </row>
    <row r="63" spans="1:21" ht="15.75" customHeight="1">
      <c r="A63" s="197" t="s">
        <v>103</v>
      </c>
      <c r="B63" s="4" t="s">
        <v>104</v>
      </c>
      <c r="C63" s="289">
        <v>1736.219437337975</v>
      </c>
      <c r="D63" s="289">
        <v>837.83647700000006</v>
      </c>
      <c r="E63" s="888">
        <v>1439.6507239853941</v>
      </c>
      <c r="H63" s="888">
        <v>1821.0904267035057</v>
      </c>
      <c r="I63" s="888"/>
      <c r="J63" s="289">
        <v>1817.4237599999999</v>
      </c>
      <c r="K63" s="1063">
        <f>Аммортизация!I11</f>
        <v>2745.4971957049102</v>
      </c>
      <c r="L63" s="289">
        <f>K63</f>
        <v>2745.4971957049102</v>
      </c>
      <c r="M63" s="289">
        <f>L63</f>
        <v>2745.4971957049102</v>
      </c>
      <c r="N63" s="289">
        <f>M63</f>
        <v>2745.4971957049102</v>
      </c>
      <c r="O63" s="741" t="s">
        <v>1046</v>
      </c>
      <c r="P63" s="1071">
        <f>L63/E63</f>
        <v>1.9070578369901647</v>
      </c>
      <c r="U63" s="1078"/>
    </row>
    <row r="64" spans="1:21" ht="11.25" customHeight="1">
      <c r="B64" s="230" t="s">
        <v>384</v>
      </c>
      <c r="C64" s="252"/>
      <c r="D64" s="252"/>
      <c r="E64" s="887"/>
      <c r="H64" s="887"/>
      <c r="I64" s="887"/>
      <c r="J64" s="249"/>
      <c r="K64" s="249"/>
      <c r="L64" s="249"/>
      <c r="M64" s="249"/>
      <c r="N64" s="249"/>
      <c r="O64" s="741"/>
      <c r="P64" s="1071" t="e">
        <f t="shared" ref="P64:P82" si="3">K64/E64</f>
        <v>#DIV/0!</v>
      </c>
      <c r="U64" s="1078"/>
    </row>
    <row r="65" spans="1:21" ht="11.25" customHeight="1">
      <c r="A65" s="974"/>
      <c r="B65" s="230" t="s">
        <v>394</v>
      </c>
      <c r="C65" s="252"/>
      <c r="D65" s="252"/>
      <c r="E65" s="887"/>
      <c r="H65" s="887"/>
      <c r="I65" s="887"/>
      <c r="J65" s="249"/>
      <c r="K65" s="249"/>
      <c r="L65" s="249"/>
      <c r="M65" s="249"/>
      <c r="N65" s="249"/>
      <c r="O65" s="741"/>
      <c r="P65" s="1071" t="e">
        <f t="shared" si="3"/>
        <v>#DIV/0!</v>
      </c>
      <c r="U65" s="1078"/>
    </row>
    <row r="66" spans="1:21" ht="11.25" customHeight="1">
      <c r="A66" s="974"/>
      <c r="B66" s="230" t="s">
        <v>395</v>
      </c>
      <c r="C66" s="252"/>
      <c r="D66" s="252">
        <v>616.34005937239601</v>
      </c>
      <c r="E66" s="887">
        <v>1059.0544062653298</v>
      </c>
      <c r="H66" s="887">
        <v>1339.6539927885483</v>
      </c>
      <c r="I66" s="887"/>
      <c r="J66" s="249">
        <v>1336.9566722065781</v>
      </c>
      <c r="K66" s="249">
        <f>E66/E63*K63</f>
        <v>2019.678005267263</v>
      </c>
      <c r="L66" s="249">
        <f>K66/K63*L63</f>
        <v>2019.678005267263</v>
      </c>
      <c r="M66" s="249">
        <f>L66/L63*M63</f>
        <v>2019.678005267263</v>
      </c>
      <c r="N66" s="249">
        <f>M66/M63*N63</f>
        <v>2019.678005267263</v>
      </c>
      <c r="O66" s="741"/>
      <c r="P66" s="1071">
        <f t="shared" si="3"/>
        <v>1.9070578369901647</v>
      </c>
      <c r="U66" s="1078"/>
    </row>
    <row r="67" spans="1:21" ht="11.25" customHeight="1">
      <c r="A67" s="974"/>
      <c r="B67" s="230" t="s">
        <v>401</v>
      </c>
      <c r="C67" s="252"/>
      <c r="D67" s="252">
        <v>221.49641762760407</v>
      </c>
      <c r="E67" s="887">
        <v>380.59631772006435</v>
      </c>
      <c r="H67" s="887">
        <v>481.4364339149576</v>
      </c>
      <c r="I67" s="887"/>
      <c r="J67" s="249">
        <v>480.46708779342202</v>
      </c>
      <c r="K67" s="249">
        <f>E67/E63*K63</f>
        <v>725.81919043764742</v>
      </c>
      <c r="L67" s="249">
        <f>K67/K63*L63</f>
        <v>725.81919043764742</v>
      </c>
      <c r="M67" s="249">
        <f>L67/L63*M63</f>
        <v>725.81919043764742</v>
      </c>
      <c r="N67" s="249">
        <f>M67/M63*N63</f>
        <v>725.81919043764742</v>
      </c>
      <c r="O67" s="741"/>
      <c r="P67" s="1071">
        <f t="shared" si="3"/>
        <v>1.9070578369901647</v>
      </c>
      <c r="U67" s="1078"/>
    </row>
    <row r="68" spans="1:21" ht="57.75" customHeight="1">
      <c r="A68" s="197" t="s">
        <v>105</v>
      </c>
      <c r="B68" s="4" t="s">
        <v>106</v>
      </c>
      <c r="C68" s="297"/>
      <c r="D68" s="297"/>
      <c r="E68" s="882"/>
      <c r="H68" s="882"/>
      <c r="I68" s="882"/>
      <c r="J68" s="540"/>
      <c r="K68" s="540"/>
      <c r="L68" s="540"/>
      <c r="M68" s="540"/>
      <c r="N68" s="540"/>
      <c r="O68" s="741" t="s">
        <v>1047</v>
      </c>
      <c r="P68" s="1071" t="e">
        <f t="shared" si="3"/>
        <v>#DIV/0!</v>
      </c>
      <c r="U68" s="1078"/>
    </row>
    <row r="69" spans="1:21" ht="12" customHeight="1">
      <c r="A69" s="197"/>
      <c r="B69" s="230" t="s">
        <v>384</v>
      </c>
      <c r="C69" s="252"/>
      <c r="D69" s="252"/>
      <c r="E69" s="887"/>
      <c r="H69" s="887"/>
      <c r="I69" s="887"/>
      <c r="J69" s="249"/>
      <c r="K69" s="249"/>
      <c r="L69" s="249"/>
      <c r="M69" s="249"/>
      <c r="N69" s="249"/>
      <c r="O69" s="741"/>
      <c r="P69" s="1071" t="e">
        <f t="shared" si="3"/>
        <v>#DIV/0!</v>
      </c>
      <c r="U69" s="1078"/>
    </row>
    <row r="70" spans="1:21" ht="12" customHeight="1">
      <c r="A70" s="197"/>
      <c r="B70" s="230" t="s">
        <v>394</v>
      </c>
      <c r="C70" s="252"/>
      <c r="D70" s="252"/>
      <c r="E70" s="887"/>
      <c r="H70" s="887"/>
      <c r="I70" s="887"/>
      <c r="J70" s="249"/>
      <c r="K70" s="249"/>
      <c r="L70" s="249"/>
      <c r="M70" s="249"/>
      <c r="N70" s="249"/>
      <c r="O70" s="741"/>
      <c r="P70" s="1071" t="e">
        <f t="shared" si="3"/>
        <v>#DIV/0!</v>
      </c>
      <c r="U70" s="1078"/>
    </row>
    <row r="71" spans="1:21" ht="12" customHeight="1">
      <c r="A71" s="197"/>
      <c r="B71" s="230" t="s">
        <v>395</v>
      </c>
      <c r="C71" s="252"/>
      <c r="D71" s="252"/>
      <c r="E71" s="887"/>
      <c r="H71" s="887"/>
      <c r="I71" s="887"/>
      <c r="J71" s="249"/>
      <c r="K71" s="249"/>
      <c r="L71" s="249"/>
      <c r="M71" s="249"/>
      <c r="N71" s="249"/>
      <c r="O71" s="741"/>
      <c r="P71" s="1071" t="e">
        <f t="shared" si="3"/>
        <v>#DIV/0!</v>
      </c>
      <c r="U71" s="1078"/>
    </row>
    <row r="72" spans="1:21" ht="12" customHeight="1">
      <c r="A72" s="197"/>
      <c r="B72" s="230" t="s">
        <v>401</v>
      </c>
      <c r="C72" s="252"/>
      <c r="D72" s="252"/>
      <c r="E72" s="887"/>
      <c r="H72" s="887"/>
      <c r="I72" s="887"/>
      <c r="J72" s="249"/>
      <c r="K72" s="249"/>
      <c r="L72" s="249"/>
      <c r="M72" s="249"/>
      <c r="N72" s="249"/>
      <c r="O72" s="741"/>
      <c r="P72" s="1071" t="e">
        <f t="shared" si="3"/>
        <v>#DIV/0!</v>
      </c>
      <c r="U72" s="1078"/>
    </row>
    <row r="73" spans="1:21" ht="24.75" customHeight="1">
      <c r="A73" s="197"/>
      <c r="B73" s="211" t="s">
        <v>107</v>
      </c>
      <c r="C73" s="253"/>
      <c r="D73" s="253">
        <v>0</v>
      </c>
      <c r="E73" s="543">
        <v>0</v>
      </c>
      <c r="H73" s="543">
        <v>0</v>
      </c>
      <c r="I73" s="543"/>
      <c r="J73" s="715">
        <v>0</v>
      </c>
      <c r="K73" s="715">
        <f>K68/(K78-K68/0.8-K45-K50)</f>
        <v>0</v>
      </c>
      <c r="L73" s="715">
        <f>L68/(L78-L68/0.8-L45-L50)</f>
        <v>0</v>
      </c>
      <c r="M73" s="715">
        <f>M68/(M78-M68/0.8-M45-M50)</f>
        <v>0</v>
      </c>
      <c r="N73" s="715">
        <f>N68/(N78-N68/0.8-N45-N50)</f>
        <v>0</v>
      </c>
      <c r="O73" s="741"/>
      <c r="P73" s="1071" t="e">
        <f t="shared" si="3"/>
        <v>#DIV/0!</v>
      </c>
      <c r="U73" s="1078"/>
    </row>
    <row r="74" spans="1:21" ht="61.5" customHeight="1">
      <c r="A74" s="198" t="s">
        <v>23</v>
      </c>
      <c r="B74" s="201" t="s">
        <v>45</v>
      </c>
      <c r="C74" s="289"/>
      <c r="D74" s="289">
        <v>842.69113499963112</v>
      </c>
      <c r="E74" s="888">
        <v>-1826.0900188873018</v>
      </c>
      <c r="H74" s="888">
        <v>4158.7910211312737</v>
      </c>
      <c r="I74" s="888"/>
      <c r="J74" s="290">
        <v>572.68776785062619</v>
      </c>
      <c r="K74" s="1061">
        <f>'Корр ПР'!D12+'Корр. НР'!E19+'Корр. ПО'!B46</f>
        <v>-284.63408224233945</v>
      </c>
      <c r="L74" s="290"/>
      <c r="M74" s="290"/>
      <c r="N74" s="290"/>
      <c r="O74" s="764" t="s">
        <v>1050</v>
      </c>
      <c r="P74" s="1071">
        <f t="shared" si="3"/>
        <v>0.15587078364065349</v>
      </c>
      <c r="U74" s="1078"/>
    </row>
    <row r="75" spans="1:21" ht="52.5" customHeight="1">
      <c r="A75" s="198">
        <v>4</v>
      </c>
      <c r="B75" s="201" t="s">
        <v>46</v>
      </c>
      <c r="C75" s="289"/>
      <c r="D75" s="289"/>
      <c r="E75" s="888"/>
      <c r="H75" s="888">
        <v>-408.1089125703291</v>
      </c>
      <c r="I75" s="888"/>
      <c r="J75" s="290">
        <v>-395.94862082376181</v>
      </c>
      <c r="K75" s="1061">
        <f>'Корр. КНК'!E10</f>
        <v>0</v>
      </c>
      <c r="L75" s="290"/>
      <c r="M75" s="290"/>
      <c r="N75" s="290"/>
      <c r="O75" s="741" t="s">
        <v>1048</v>
      </c>
      <c r="P75" s="1071" t="e">
        <f t="shared" si="3"/>
        <v>#DIV/0!</v>
      </c>
      <c r="U75" s="1078"/>
    </row>
    <row r="76" spans="1:21" s="1542" customFormat="1" ht="36.75" customHeight="1">
      <c r="A76" s="198" t="s">
        <v>632</v>
      </c>
      <c r="B76" s="1606" t="s">
        <v>1502</v>
      </c>
      <c r="C76" s="289"/>
      <c r="D76" s="289"/>
      <c r="E76" s="289"/>
      <c r="F76" s="289"/>
      <c r="G76" s="289"/>
      <c r="H76" s="289"/>
      <c r="I76" s="888"/>
      <c r="J76" s="290">
        <v>0</v>
      </c>
      <c r="K76" s="1061"/>
      <c r="L76" s="1061"/>
      <c r="M76" s="290">
        <f>'[10]Корр. ПО'!B47</f>
        <v>0</v>
      </c>
      <c r="N76" s="290"/>
      <c r="O76" s="290"/>
      <c r="P76" s="1607"/>
      <c r="Q76" s="1608" t="s">
        <v>1503</v>
      </c>
      <c r="R76" s="1071"/>
    </row>
    <row r="77" spans="1:21" s="1542" customFormat="1" ht="40.5" customHeight="1">
      <c r="A77" s="198" t="s">
        <v>47</v>
      </c>
      <c r="B77" s="1606" t="s">
        <v>1504</v>
      </c>
      <c r="C77" s="289"/>
      <c r="D77" s="289"/>
      <c r="E77" s="289"/>
      <c r="F77" s="289"/>
      <c r="G77" s="289"/>
      <c r="H77" s="289"/>
      <c r="I77" s="888"/>
      <c r="J77" s="290"/>
      <c r="K77" s="1061">
        <f>'Сырье и материалы'!E13</f>
        <v>7592.5313639999995</v>
      </c>
      <c r="L77" s="1061"/>
      <c r="M77" s="290"/>
      <c r="N77" s="290"/>
      <c r="O77" s="290"/>
      <c r="P77" s="1607"/>
      <c r="Q77" s="1608" t="s">
        <v>1505</v>
      </c>
      <c r="R77" s="1071"/>
    </row>
    <row r="78" spans="1:21" ht="16.5" customHeight="1">
      <c r="A78" s="198">
        <v>5</v>
      </c>
      <c r="B78" t="s">
        <v>32</v>
      </c>
      <c r="C78" s="1030"/>
      <c r="D78" s="1031">
        <v>31392.993274640696</v>
      </c>
      <c r="E78" s="892">
        <v>30457.586217212443</v>
      </c>
      <c r="H78" s="892">
        <v>37873.168138101537</v>
      </c>
      <c r="I78" s="892"/>
      <c r="J78" s="1601">
        <v>34152.922678214047</v>
      </c>
      <c r="K78" s="532">
        <f>K18+K44+K74+K75</f>
        <v>41841.828889114266</v>
      </c>
      <c r="L78">
        <f>L23+L44+L74+L75</f>
        <v>46933.964096997435</v>
      </c>
      <c r="M78">
        <f>M23+M44+M74+M75</f>
        <v>48176.003626989092</v>
      </c>
      <c r="N78">
        <f>N23+N44+N74+N75</f>
        <v>49536.574960875005</v>
      </c>
      <c r="O78" s="741"/>
      <c r="P78" s="744">
        <f t="shared" si="3"/>
        <v>1.3737736336265631</v>
      </c>
      <c r="U78" s="1078"/>
    </row>
    <row r="79" spans="1:21" ht="12" customHeight="1">
      <c r="A79" s="197"/>
      <c r="B79" s="230" t="s">
        <v>384</v>
      </c>
      <c r="C79" s="252"/>
      <c r="D79" s="252">
        <v>0</v>
      </c>
      <c r="E79" s="887">
        <v>0</v>
      </c>
      <c r="H79" s="887">
        <v>0</v>
      </c>
      <c r="I79" s="887"/>
      <c r="J79" s="367">
        <v>0</v>
      </c>
      <c r="K79" s="367">
        <f>K45+K54+K64+K69+($K$78-SUM($K$64:$K$67)-SUM($K$69:$K$72)-SUM($K$54:$K$57)-$K$45)*K10/$K$9</f>
        <v>0</v>
      </c>
      <c r="L79" s="367">
        <f>L45+L54+L64+L69+($L$78-SUM($L$64:$L$67)-SUM($L$69:$L$72)-SUM($L$54:$L$57)-$L$45)*L10/$L$9</f>
        <v>0</v>
      </c>
      <c r="M79" s="367">
        <f>M45+M54+M64+M69+($M$78-SUM($M$64:$M$67)-SUM($M$69:$M$72)-SUM($M$54:$M$57)-$M$45)*M10/$M$9</f>
        <v>0</v>
      </c>
      <c r="N79" s="367">
        <f>N45+N54+N64+N69+($N$78-SUM($N$64:$N$67)-SUM($N$69:$N$72)-SUM($N$54:$N$57)-$N$45)*N10/$N$9</f>
        <v>0</v>
      </c>
      <c r="O79" s="741"/>
      <c r="P79" s="1071" t="e">
        <f t="shared" si="3"/>
        <v>#DIV/0!</v>
      </c>
      <c r="U79" s="1078"/>
    </row>
    <row r="80" spans="1:21" ht="12" customHeight="1">
      <c r="A80" s="197"/>
      <c r="B80" s="230" t="s">
        <v>488</v>
      </c>
      <c r="C80" s="252"/>
      <c r="D80" s="252">
        <v>0</v>
      </c>
      <c r="E80" s="887">
        <v>0</v>
      </c>
      <c r="H80" s="887">
        <v>0</v>
      </c>
      <c r="I80" s="887"/>
      <c r="J80" s="367">
        <v>0</v>
      </c>
      <c r="K80" s="367">
        <f>K55+K65+K70+($K$78-SUM($K$64:$K$67)-SUM($K$69:$K$72)-SUM($K$54:$K$57)-$K$45)*K11/$K$9</f>
        <v>0</v>
      </c>
      <c r="L80" s="367">
        <f>L55+L65+L70+($L$78-SUM($L$64:$L$67)-SUM($L$69:$L$72)-SUM($L$54:$L$57)-$L$45)*L11/$L$9</f>
        <v>0</v>
      </c>
      <c r="M80" s="367">
        <f>M55+M65+M70+($M$78-SUM($M$64:$M$67)-SUM($M$69:$M$72)-SUM($M$54:$M$57)-$M$45)*M11/$M$9</f>
        <v>0</v>
      </c>
      <c r="N80" s="367">
        <f>N55+N65+N70+($N$78-SUM($N$64:$N$67)-SUM($N$69:$N$72)-SUM($N$54:$N$57)-$N$45)*N11/$N$9</f>
        <v>0</v>
      </c>
      <c r="O80" s="741"/>
      <c r="P80" s="1071" t="e">
        <f t="shared" si="3"/>
        <v>#DIV/0!</v>
      </c>
      <c r="U80" s="1078"/>
    </row>
    <row r="81" spans="1:21" ht="12" customHeight="1">
      <c r="A81" s="197"/>
      <c r="B81" s="230" t="s">
        <v>395</v>
      </c>
      <c r="C81" s="252"/>
      <c r="D81" s="252">
        <v>14290.492931286357</v>
      </c>
      <c r="E81" s="887">
        <v>16296.927033148952</v>
      </c>
      <c r="H81" s="887">
        <v>23191.902359412768</v>
      </c>
      <c r="I81" s="887"/>
      <c r="J81" s="367">
        <v>20953.081872229955</v>
      </c>
      <c r="K81" s="367">
        <f>K56+K66+K71+($K$78-SUM($K$64:$K$67)-SUM($K$69:$K$72)-SUM($K$54:$K$57)-$K$45)*K12/$K$9</f>
        <v>25717.140249397478</v>
      </c>
      <c r="L81" s="367">
        <f>L56+L66+L71+($L$78-SUM($L$64:$L$67)-SUM($L$69:$L$72)-SUM($L$54:$L$57)-$L$45)*L12/$L$9</f>
        <v>28783.217349867082</v>
      </c>
      <c r="M81" s="367">
        <f>M56+M66+M71+($M$78-SUM($M$64:$M$67)-SUM($M$69:$M$72)-SUM($M$54:$M$57)-$M$45)*M12/$M$9</f>
        <v>29535.480919063408</v>
      </c>
      <c r="N81" s="367">
        <f>N56+N66+N71+($N$78-SUM($N$64:$N$67)-SUM($N$69:$N$72)-SUM($N$54:$N$57)-$N$45)*N12/$N$9</f>
        <v>30404.889771636495</v>
      </c>
      <c r="O81" s="741"/>
      <c r="P81" s="1071">
        <f t="shared" si="3"/>
        <v>1.5780361657806552</v>
      </c>
      <c r="U81" s="1078"/>
    </row>
    <row r="82" spans="1:21" ht="12" customHeight="1">
      <c r="A82" s="197"/>
      <c r="B82" s="230" t="s">
        <v>401</v>
      </c>
      <c r="C82" s="252"/>
      <c r="D82" s="252">
        <v>17102.500343354339</v>
      </c>
      <c r="E82" s="887">
        <v>14160.659184063492</v>
      </c>
      <c r="H82" s="887">
        <v>14681.265778688768</v>
      </c>
      <c r="I82" s="887"/>
      <c r="J82" s="367">
        <v>13199.840805984091</v>
      </c>
      <c r="K82" s="367">
        <f>K78-K79-K80-K81</f>
        <v>16124.688639716787</v>
      </c>
      <c r="L82" s="367">
        <f>L78-L79-L80-L81</f>
        <v>18150.746747130353</v>
      </c>
      <c r="M82" s="367">
        <f>M78-M79-M80-M81</f>
        <v>18640.522707925684</v>
      </c>
      <c r="N82" s="367">
        <f>N78-N79-N80-N81</f>
        <v>19131.685189238509</v>
      </c>
      <c r="O82" s="741"/>
      <c r="P82" s="1071">
        <f t="shared" si="3"/>
        <v>1.1386961885124407</v>
      </c>
      <c r="U82" s="1078"/>
    </row>
    <row r="83" spans="1:21" ht="12" customHeight="1">
      <c r="A83" s="197"/>
      <c r="B83" s="514" t="s">
        <v>33</v>
      </c>
      <c r="C83" s="252"/>
      <c r="D83" s="252">
        <v>31392.993274640696</v>
      </c>
      <c r="E83" s="887">
        <v>30457.586217212443</v>
      </c>
      <c r="H83" s="887">
        <v>37873.168138101537</v>
      </c>
      <c r="I83" s="887">
        <f>I85</f>
        <v>37873.168215479993</v>
      </c>
      <c r="J83" s="367">
        <v>34152.922678214047</v>
      </c>
      <c r="K83" s="367">
        <f>K78*$K$129</f>
        <v>41841.828889114266</v>
      </c>
      <c r="L83" s="367">
        <f>L78*$K$129</f>
        <v>46933.964096997435</v>
      </c>
      <c r="M83" s="367">
        <f>M78*$K$129</f>
        <v>48176.003626989092</v>
      </c>
      <c r="N83" s="367">
        <f>N78*$K$129</f>
        <v>49536.574960875005</v>
      </c>
      <c r="O83" s="741"/>
      <c r="P83" s="1071"/>
      <c r="U83" s="1078"/>
    </row>
    <row r="84" spans="1:21" ht="25.5" customHeight="1">
      <c r="A84" s="197"/>
      <c r="B84" s="514" t="s">
        <v>1034</v>
      </c>
      <c r="C84" s="252"/>
      <c r="D84" s="252"/>
      <c r="E84" s="887">
        <v>0</v>
      </c>
      <c r="H84" s="887"/>
      <c r="I84" s="887"/>
      <c r="J84" s="367"/>
      <c r="K84" s="367"/>
      <c r="L84" s="367"/>
      <c r="M84" s="367"/>
      <c r="N84" s="367"/>
      <c r="O84" s="741"/>
      <c r="P84" s="1071"/>
      <c r="U84" s="1078"/>
    </row>
    <row r="85" spans="1:21" ht="29.25" customHeight="1">
      <c r="A85" s="250" t="s">
        <v>47</v>
      </c>
      <c r="B85" s="275" t="s">
        <v>33</v>
      </c>
      <c r="C85" s="664"/>
      <c r="D85" s="664">
        <v>31392.993274640696</v>
      </c>
      <c r="E85" s="893">
        <v>30457.586217212443</v>
      </c>
      <c r="H85" s="893">
        <v>37873.168138101537</v>
      </c>
      <c r="I85" s="893">
        <v>37873.168215479993</v>
      </c>
      <c r="J85" s="1067">
        <v>34152.922678214047</v>
      </c>
      <c r="K85" s="1067">
        <f>K83+K84</f>
        <v>41841.828889114266</v>
      </c>
      <c r="L85" s="1067">
        <f>L83+L84</f>
        <v>46933.964096997435</v>
      </c>
      <c r="M85" s="1067">
        <f>M83+M84</f>
        <v>48176.003626989092</v>
      </c>
      <c r="N85" s="1067">
        <f>N83+N84</f>
        <v>49536.574960875005</v>
      </c>
      <c r="O85" s="741"/>
      <c r="P85" s="744">
        <f t="shared" ref="P85:P108" si="4">K85/E85</f>
        <v>1.3737736336265631</v>
      </c>
      <c r="U85" s="1078"/>
    </row>
    <row r="86" spans="1:21" ht="12" customHeight="1">
      <c r="A86" s="197"/>
      <c r="B86" s="230" t="s">
        <v>384</v>
      </c>
      <c r="C86" s="252"/>
      <c r="D86" s="252">
        <v>0</v>
      </c>
      <c r="E86" s="890">
        <v>0</v>
      </c>
      <c r="H86" s="890">
        <v>0</v>
      </c>
      <c r="I86" s="890"/>
      <c r="J86" s="663">
        <v>0</v>
      </c>
      <c r="K86" s="663">
        <f t="shared" ref="K86:N88" si="5">K79/$K$78*$K$85</f>
        <v>0</v>
      </c>
      <c r="L86" s="663">
        <f t="shared" si="5"/>
        <v>0</v>
      </c>
      <c r="M86" s="663">
        <f t="shared" si="5"/>
        <v>0</v>
      </c>
      <c r="N86" s="663">
        <f t="shared" si="5"/>
        <v>0</v>
      </c>
      <c r="O86" s="741"/>
      <c r="P86" s="1071" t="e">
        <f t="shared" si="4"/>
        <v>#DIV/0!</v>
      </c>
      <c r="U86" s="1078"/>
    </row>
    <row r="87" spans="1:21" ht="12" customHeight="1">
      <c r="A87" s="197"/>
      <c r="B87" s="230" t="s">
        <v>488</v>
      </c>
      <c r="C87" s="252"/>
      <c r="D87" s="252">
        <v>0</v>
      </c>
      <c r="E87" s="890">
        <v>0</v>
      </c>
      <c r="H87" s="890">
        <v>0</v>
      </c>
      <c r="I87" s="890"/>
      <c r="J87" s="663">
        <v>0</v>
      </c>
      <c r="K87" s="663">
        <f>K80/$K$78*$K$85</f>
        <v>0</v>
      </c>
      <c r="L87" s="663">
        <f t="shared" si="5"/>
        <v>0</v>
      </c>
      <c r="M87" s="663">
        <f t="shared" si="5"/>
        <v>0</v>
      </c>
      <c r="N87" s="663">
        <f t="shared" si="5"/>
        <v>0</v>
      </c>
      <c r="O87" s="741"/>
      <c r="P87" s="1071" t="e">
        <f t="shared" si="4"/>
        <v>#DIV/0!</v>
      </c>
      <c r="U87" s="1078"/>
    </row>
    <row r="88" spans="1:21" ht="12" customHeight="1">
      <c r="A88" s="197"/>
      <c r="B88" s="230" t="s">
        <v>395</v>
      </c>
      <c r="C88" s="252"/>
      <c r="D88" s="252">
        <v>14290.492931286357</v>
      </c>
      <c r="E88" s="890">
        <v>16296.927033148952</v>
      </c>
      <c r="H88" s="890">
        <v>23191.902359412768</v>
      </c>
      <c r="I88" s="890"/>
      <c r="J88" s="663">
        <v>20953.081872229955</v>
      </c>
      <c r="K88" s="663">
        <f t="shared" si="5"/>
        <v>25717.140249397478</v>
      </c>
      <c r="L88" s="663">
        <f t="shared" si="5"/>
        <v>28783.217349867082</v>
      </c>
      <c r="M88" s="663">
        <f t="shared" si="5"/>
        <v>29535.480919063408</v>
      </c>
      <c r="N88" s="663">
        <f t="shared" si="5"/>
        <v>30404.889771636495</v>
      </c>
      <c r="O88" s="741"/>
      <c r="P88" s="1071">
        <f t="shared" si="4"/>
        <v>1.5780361657806552</v>
      </c>
      <c r="U88" s="1078"/>
    </row>
    <row r="89" spans="1:21" ht="12" customHeight="1">
      <c r="A89" s="197"/>
      <c r="B89" s="230" t="s">
        <v>401</v>
      </c>
      <c r="C89" s="252"/>
      <c r="D89" s="252">
        <v>17102.500343354339</v>
      </c>
      <c r="E89" s="890">
        <v>14160.659184063492</v>
      </c>
      <c r="H89" s="890">
        <v>14681.265778688768</v>
      </c>
      <c r="I89" s="890"/>
      <c r="J89" s="663">
        <v>13199.840805984091</v>
      </c>
      <c r="K89" s="663">
        <f>K82/$K$78*$K$85</f>
        <v>16124.688639716787</v>
      </c>
      <c r="L89" s="663">
        <f>L82/$K$78*$K$85</f>
        <v>18150.746747130353</v>
      </c>
      <c r="M89" s="663">
        <f>M82/$K$78*$K$85</f>
        <v>18640.522707925684</v>
      </c>
      <c r="N89" s="663">
        <f>N82/$K$78*$K$85</f>
        <v>19131.685189238509</v>
      </c>
      <c r="O89" s="741"/>
      <c r="P89" s="1071">
        <f t="shared" si="4"/>
        <v>1.1386961885124407</v>
      </c>
      <c r="U89" s="1078"/>
    </row>
    <row r="90" spans="1:21" ht="15" customHeight="1">
      <c r="A90" s="197"/>
      <c r="B90" s="200" t="s">
        <v>509</v>
      </c>
      <c r="C90" s="537"/>
      <c r="D90" s="537">
        <v>15696.496637320348</v>
      </c>
      <c r="E90" s="887">
        <v>15228.793108606222</v>
      </c>
      <c r="H90" s="887">
        <v>18936.584069050768</v>
      </c>
      <c r="I90" s="887">
        <v>18936.584107739996</v>
      </c>
      <c r="J90" s="1068">
        <v>17076.461339107023</v>
      </c>
      <c r="K90" s="1068">
        <f>K85/2</f>
        <v>20920.914444557133</v>
      </c>
      <c r="L90" s="369">
        <f>L85/2</f>
        <v>23466.982048498718</v>
      </c>
      <c r="M90" s="369">
        <f>M85/2</f>
        <v>24088.001813494546</v>
      </c>
      <c r="N90" s="369">
        <f>N85/2</f>
        <v>24768.287480437502</v>
      </c>
      <c r="O90" s="741" t="s">
        <v>591</v>
      </c>
      <c r="P90" s="1071">
        <f t="shared" si="4"/>
        <v>1.3737736336265631</v>
      </c>
      <c r="U90" s="1078"/>
    </row>
    <row r="91" spans="1:21" ht="12" customHeight="1">
      <c r="A91" s="197"/>
      <c r="B91" s="293" t="s">
        <v>384</v>
      </c>
      <c r="C91" s="888"/>
      <c r="D91" s="888">
        <v>0</v>
      </c>
      <c r="E91" s="888">
        <v>0</v>
      </c>
      <c r="H91" s="888">
        <v>0</v>
      </c>
      <c r="I91" s="888"/>
      <c r="J91" s="767">
        <v>0</v>
      </c>
      <c r="K91" s="537">
        <f>K46</f>
        <v>0</v>
      </c>
      <c r="L91" s="767">
        <f>L46</f>
        <v>0</v>
      </c>
      <c r="M91" s="767">
        <f>M46</f>
        <v>0</v>
      </c>
      <c r="N91" s="767">
        <f>N46</f>
        <v>0</v>
      </c>
      <c r="O91" s="741"/>
      <c r="P91" s="1071" t="e">
        <f t="shared" si="4"/>
        <v>#DIV/0!</v>
      </c>
      <c r="U91" s="1078"/>
    </row>
    <row r="92" spans="1:21" ht="12" customHeight="1">
      <c r="A92" s="197"/>
      <c r="B92" s="293" t="s">
        <v>488</v>
      </c>
      <c r="C92" s="923"/>
      <c r="D92" s="923">
        <v>0</v>
      </c>
      <c r="E92" s="888">
        <v>0</v>
      </c>
      <c r="H92" s="888">
        <v>0</v>
      </c>
      <c r="I92" s="888"/>
      <c r="J92" s="767">
        <v>0</v>
      </c>
      <c r="K92" s="367">
        <f>(K90-K91)*K87/(K85-K86)</f>
        <v>0</v>
      </c>
      <c r="L92" s="767">
        <f>(L90-L91)*L87/(L85-L86)</f>
        <v>0</v>
      </c>
      <c r="M92" s="767">
        <f>(M90-M91)*M87/(M85-M86)</f>
        <v>0</v>
      </c>
      <c r="N92" s="767">
        <f>(N90-N91)*N87/(N85-N86)</f>
        <v>0</v>
      </c>
      <c r="O92" s="741"/>
      <c r="P92" s="1071" t="e">
        <f t="shared" si="4"/>
        <v>#DIV/0!</v>
      </c>
      <c r="U92" s="1078"/>
    </row>
    <row r="93" spans="1:21" ht="12" customHeight="1">
      <c r="A93" s="197"/>
      <c r="B93" s="293" t="s">
        <v>395</v>
      </c>
      <c r="C93" s="924"/>
      <c r="D93" s="924">
        <v>7145.2464656431785</v>
      </c>
      <c r="E93" s="888">
        <v>8148.4635165744758</v>
      </c>
      <c r="H93" s="888">
        <v>11595.951179706384</v>
      </c>
      <c r="I93" s="888"/>
      <c r="J93" s="767">
        <v>10476.540936114978</v>
      </c>
      <c r="K93" s="367">
        <f>(K90-K91)*K88/(K85-K86)</f>
        <v>12858.570124698737</v>
      </c>
      <c r="L93" s="767">
        <f>(L90-L91)*L88/(L85-L86)</f>
        <v>14391.608674933541</v>
      </c>
      <c r="M93" s="767">
        <f>(M90-M91)*M88/(M85-M86)</f>
        <v>14767.740459531706</v>
      </c>
      <c r="N93" s="767">
        <f>(N90-N91)*N88/(N85-N86)</f>
        <v>15202.444885818248</v>
      </c>
      <c r="O93" s="741"/>
      <c r="P93" s="1071">
        <f t="shared" si="4"/>
        <v>1.5780361657806548</v>
      </c>
      <c r="U93" s="1078"/>
    </row>
    <row r="94" spans="1:21" ht="12" customHeight="1">
      <c r="A94" s="197"/>
      <c r="B94" s="293" t="s">
        <v>401</v>
      </c>
      <c r="C94" s="924"/>
      <c r="D94" s="924">
        <v>8551.2501716771694</v>
      </c>
      <c r="E94" s="888">
        <v>7080.329592031746</v>
      </c>
      <c r="H94" s="888">
        <v>7340.6328893443842</v>
      </c>
      <c r="I94" s="888"/>
      <c r="J94" s="767">
        <v>6599.9204029920456</v>
      </c>
      <c r="K94" s="367">
        <f>K90-K91-K92-K93</f>
        <v>8062.3443198583955</v>
      </c>
      <c r="L94" s="767">
        <f>L90-L91-L92-L93</f>
        <v>9075.3733735651767</v>
      </c>
      <c r="M94" s="767">
        <f>M90-M91-M92-M93</f>
        <v>9320.2613539628401</v>
      </c>
      <c r="N94" s="767">
        <f>N90-N91-N92-N93</f>
        <v>9565.8425946192547</v>
      </c>
      <c r="O94" s="741"/>
      <c r="P94" s="1071">
        <f t="shared" si="4"/>
        <v>1.1386961885124409</v>
      </c>
      <c r="U94" s="1078"/>
    </row>
    <row r="95" spans="1:21" ht="15.75" customHeight="1">
      <c r="A95" s="197"/>
      <c r="B95" s="200" t="s">
        <v>510</v>
      </c>
      <c r="C95" s="537"/>
      <c r="D95" s="537">
        <v>15696.496637320348</v>
      </c>
      <c r="E95" s="887">
        <v>15228.793108606222</v>
      </c>
      <c r="H95" s="887">
        <v>18936.584069050768</v>
      </c>
      <c r="I95" s="887">
        <v>18936.584107739996</v>
      </c>
      <c r="J95" s="1068">
        <v>17076.461339107023</v>
      </c>
      <c r="K95" s="1068">
        <f>K85-K90</f>
        <v>20920.914444557133</v>
      </c>
      <c r="L95" s="369">
        <f t="shared" ref="K95:N99" si="6">L85-L90</f>
        <v>23466.982048498718</v>
      </c>
      <c r="M95" s="369">
        <f t="shared" si="6"/>
        <v>24088.001813494546</v>
      </c>
      <c r="N95" s="369">
        <f t="shared" si="6"/>
        <v>24768.287480437502</v>
      </c>
      <c r="O95" s="741" t="s">
        <v>592</v>
      </c>
      <c r="P95" s="1071">
        <f t="shared" si="4"/>
        <v>1.3737736336265631</v>
      </c>
      <c r="U95" s="1078"/>
    </row>
    <row r="96" spans="1:21" ht="13.5" customHeight="1">
      <c r="A96" s="197"/>
      <c r="B96" s="230" t="s">
        <v>384</v>
      </c>
      <c r="C96" s="924"/>
      <c r="D96" s="924">
        <v>0</v>
      </c>
      <c r="E96" s="888">
        <v>0</v>
      </c>
      <c r="H96" s="888">
        <v>0</v>
      </c>
      <c r="I96" s="888"/>
      <c r="J96" s="767">
        <v>0</v>
      </c>
      <c r="K96" s="367">
        <f>K86-K91</f>
        <v>0</v>
      </c>
      <c r="L96" s="767">
        <f>L86-L91</f>
        <v>0</v>
      </c>
      <c r="M96" s="767">
        <f t="shared" si="6"/>
        <v>0</v>
      </c>
      <c r="N96" s="767">
        <f t="shared" si="6"/>
        <v>0</v>
      </c>
      <c r="O96" s="741"/>
      <c r="P96" s="1071" t="e">
        <f t="shared" si="4"/>
        <v>#DIV/0!</v>
      </c>
      <c r="U96" s="1078"/>
    </row>
    <row r="97" spans="1:21" ht="13.5" customHeight="1">
      <c r="A97" s="197"/>
      <c r="B97" s="230" t="s">
        <v>488</v>
      </c>
      <c r="C97" s="924"/>
      <c r="D97" s="924">
        <v>0</v>
      </c>
      <c r="E97" s="888">
        <v>0</v>
      </c>
      <c r="H97" s="888">
        <v>0</v>
      </c>
      <c r="I97" s="888"/>
      <c r="J97" s="767">
        <v>0</v>
      </c>
      <c r="K97" s="367">
        <f t="shared" si="6"/>
        <v>0</v>
      </c>
      <c r="L97" s="767">
        <f t="shared" si="6"/>
        <v>0</v>
      </c>
      <c r="M97" s="767">
        <f t="shared" si="6"/>
        <v>0</v>
      </c>
      <c r="N97" s="767">
        <f t="shared" si="6"/>
        <v>0</v>
      </c>
      <c r="O97" s="741"/>
      <c r="P97" s="1071" t="e">
        <f t="shared" si="4"/>
        <v>#DIV/0!</v>
      </c>
      <c r="U97" s="1078"/>
    </row>
    <row r="98" spans="1:21" ht="13.5" customHeight="1">
      <c r="A98" s="197"/>
      <c r="B98" s="230" t="s">
        <v>395</v>
      </c>
      <c r="C98" s="924"/>
      <c r="D98" s="924">
        <v>7145.2464656431785</v>
      </c>
      <c r="E98" s="888">
        <v>8148.4635165744758</v>
      </c>
      <c r="H98" s="888">
        <v>11595.951179706384</v>
      </c>
      <c r="I98" s="888"/>
      <c r="J98" s="767">
        <v>10476.540936114978</v>
      </c>
      <c r="K98" s="367">
        <f t="shared" si="6"/>
        <v>12858.570124698741</v>
      </c>
      <c r="L98" s="767">
        <f t="shared" si="6"/>
        <v>14391.608674933541</v>
      </c>
      <c r="M98" s="767">
        <f t="shared" si="6"/>
        <v>14767.740459531702</v>
      </c>
      <c r="N98" s="767">
        <f t="shared" si="6"/>
        <v>15202.444885818248</v>
      </c>
      <c r="O98" s="741"/>
      <c r="P98" s="1071">
        <f t="shared" si="4"/>
        <v>1.5780361657806554</v>
      </c>
      <c r="U98" s="1078"/>
    </row>
    <row r="99" spans="1:21" ht="13.5" customHeight="1">
      <c r="A99" s="197"/>
      <c r="B99" s="230" t="s">
        <v>401</v>
      </c>
      <c r="C99" s="924"/>
      <c r="D99" s="924">
        <v>8551.2501716771694</v>
      </c>
      <c r="E99" s="888">
        <v>7080.329592031746</v>
      </c>
      <c r="H99" s="888">
        <v>7340.6328893443842</v>
      </c>
      <c r="I99" s="888"/>
      <c r="J99" s="767">
        <v>6599.9204029920456</v>
      </c>
      <c r="K99" s="367">
        <f t="shared" si="6"/>
        <v>8062.3443198583918</v>
      </c>
      <c r="L99" s="767">
        <f t="shared" si="6"/>
        <v>9075.3733735651767</v>
      </c>
      <c r="M99" s="767">
        <f t="shared" si="6"/>
        <v>9320.2613539628437</v>
      </c>
      <c r="N99" s="767">
        <f t="shared" si="6"/>
        <v>9565.8425946192547</v>
      </c>
      <c r="O99" s="741"/>
      <c r="P99" s="1071">
        <f t="shared" si="4"/>
        <v>1.1386961885124405</v>
      </c>
      <c r="U99" s="1078"/>
    </row>
    <row r="100" spans="1:21" ht="24" customHeight="1">
      <c r="A100" s="197"/>
      <c r="B100" s="200" t="s">
        <v>51</v>
      </c>
      <c r="C100" s="295"/>
      <c r="D100" s="295">
        <v>23543.026340400025</v>
      </c>
      <c r="E100" s="890">
        <v>24909.794309199373</v>
      </c>
      <c r="H100" s="890">
        <v>25545.44060696449</v>
      </c>
      <c r="I100" s="890"/>
      <c r="J100" s="768">
        <v>25470.706542431551</v>
      </c>
      <c r="K100" s="538">
        <f>K18*K129</f>
        <v>30644.581989483868</v>
      </c>
      <c r="L100" s="768">
        <f>L18*L129</f>
        <v>31481.608647461562</v>
      </c>
      <c r="M100" s="768">
        <f>M18*M129</f>
        <v>32413.464263426427</v>
      </c>
      <c r="N100" s="768">
        <f>N18*N129</f>
        <v>33434.579073643094</v>
      </c>
      <c r="O100" s="741"/>
      <c r="P100" s="1071">
        <f t="shared" si="4"/>
        <v>1.2302222013196871</v>
      </c>
      <c r="U100" s="1078"/>
    </row>
    <row r="101" spans="1:21" ht="15.75" customHeight="1">
      <c r="A101" s="197"/>
      <c r="B101" s="201"/>
      <c r="C101" s="252"/>
      <c r="D101" s="252"/>
      <c r="E101" s="887"/>
      <c r="H101" s="887"/>
      <c r="I101" s="887"/>
      <c r="J101" s="210"/>
      <c r="K101" s="210"/>
      <c r="L101" s="210"/>
      <c r="M101" s="210"/>
      <c r="N101" s="251"/>
      <c r="O101" s="741"/>
      <c r="P101" s="1071" t="e">
        <f t="shared" si="4"/>
        <v>#DIV/0!</v>
      </c>
      <c r="U101" s="1078"/>
    </row>
    <row r="102" spans="1:21" ht="15.75" customHeight="1">
      <c r="A102" s="202"/>
      <c r="B102" s="203" t="s">
        <v>34</v>
      </c>
      <c r="C102" s="295"/>
      <c r="D102" s="295">
        <v>29128</v>
      </c>
      <c r="E102" s="890">
        <v>27162</v>
      </c>
      <c r="H102" s="890">
        <v>28707</v>
      </c>
      <c r="I102" s="890">
        <v>28971.675999999999</v>
      </c>
      <c r="J102" s="295">
        <v>29166</v>
      </c>
      <c r="K102" s="295">
        <f>SUM(K103:K104)</f>
        <v>28992</v>
      </c>
      <c r="L102" s="295">
        <f>SUM(L103:L104)</f>
        <v>28707</v>
      </c>
      <c r="M102" s="295">
        <f>SUM(M103:M104)</f>
        <v>28707</v>
      </c>
      <c r="N102" s="295">
        <f>SUM(N103:N104)</f>
        <v>28707</v>
      </c>
      <c r="O102" s="741" t="s">
        <v>815</v>
      </c>
      <c r="P102" s="1071">
        <f t="shared" si="4"/>
        <v>1.0673735365584271</v>
      </c>
      <c r="U102" s="1078"/>
    </row>
    <row r="103" spans="1:21" ht="15.75" customHeight="1">
      <c r="A103" s="202"/>
      <c r="B103" s="203" t="s">
        <v>509</v>
      </c>
      <c r="C103" s="289"/>
      <c r="D103" s="289">
        <f>D102/2</f>
        <v>14564</v>
      </c>
      <c r="E103" s="888">
        <v>13701</v>
      </c>
      <c r="H103" s="888">
        <v>14453.000000000002</v>
      </c>
      <c r="I103" s="888">
        <f>I106</f>
        <v>14598.565000000001</v>
      </c>
      <c r="J103" s="290">
        <v>14601</v>
      </c>
      <c r="K103" s="290">
        <f>'Информация о согл. объемах'!L8*1000</f>
        <v>14495.999999999998</v>
      </c>
      <c r="L103" s="290">
        <v>14453.000000000002</v>
      </c>
      <c r="M103" s="290">
        <f t="shared" ref="M103:N104" si="7">L103</f>
        <v>14453.000000000002</v>
      </c>
      <c r="N103" s="290">
        <f t="shared" si="7"/>
        <v>14453.000000000002</v>
      </c>
      <c r="O103" s="741" t="s">
        <v>815</v>
      </c>
      <c r="P103" s="1071">
        <f t="shared" si="4"/>
        <v>1.0580249616816289</v>
      </c>
      <c r="U103" s="1078"/>
    </row>
    <row r="104" spans="1:21" ht="15.75" customHeight="1">
      <c r="A104" s="202"/>
      <c r="B104" s="203" t="s">
        <v>510</v>
      </c>
      <c r="C104" s="289"/>
      <c r="D104" s="289">
        <f>D102/2</f>
        <v>14564</v>
      </c>
      <c r="E104" s="888">
        <v>13461</v>
      </c>
      <c r="H104" s="888">
        <v>14254</v>
      </c>
      <c r="I104" s="888">
        <f>I107</f>
        <v>14373.110999999999</v>
      </c>
      <c r="J104" s="290">
        <v>14565.000000000002</v>
      </c>
      <c r="K104" s="290">
        <f>'Информация о согл. объемах'!S8*1000</f>
        <v>14496</v>
      </c>
      <c r="L104" s="290">
        <v>14254</v>
      </c>
      <c r="M104" s="290">
        <f t="shared" si="7"/>
        <v>14254</v>
      </c>
      <c r="N104" s="290">
        <f t="shared" si="7"/>
        <v>14254</v>
      </c>
      <c r="O104" s="741" t="s">
        <v>815</v>
      </c>
      <c r="P104" s="1071">
        <f t="shared" si="4"/>
        <v>1.0768887898373078</v>
      </c>
      <c r="U104" s="1078"/>
    </row>
    <row r="105" spans="1:21" ht="15.75" customHeight="1">
      <c r="A105" s="202"/>
      <c r="B105" s="203" t="s">
        <v>16</v>
      </c>
      <c r="C105" s="252"/>
      <c r="D105" s="252">
        <v>29128.279628</v>
      </c>
      <c r="E105" s="887">
        <v>27162</v>
      </c>
      <c r="H105" s="887">
        <v>28707</v>
      </c>
      <c r="I105" s="1623">
        <v>28971.675999999999</v>
      </c>
      <c r="J105" s="252">
        <v>29166</v>
      </c>
      <c r="K105" s="252">
        <f>SUM(K106:K107)</f>
        <v>28992</v>
      </c>
      <c r="L105" s="252">
        <f>SUM(L106:L107)</f>
        <v>28707</v>
      </c>
      <c r="M105" s="252">
        <f>SUM(M106:M107)</f>
        <v>28707</v>
      </c>
      <c r="N105" s="252">
        <f>SUM(N106:N107)</f>
        <v>28707</v>
      </c>
      <c r="O105" s="741"/>
      <c r="P105" s="1071">
        <f t="shared" si="4"/>
        <v>1.0673735365584271</v>
      </c>
      <c r="U105" s="1078"/>
    </row>
    <row r="106" spans="1:21" ht="15.75" customHeight="1">
      <c r="A106" s="202"/>
      <c r="B106" s="203" t="s">
        <v>509</v>
      </c>
      <c r="C106" s="289"/>
      <c r="D106" s="289">
        <v>14567.13884</v>
      </c>
      <c r="E106" s="888">
        <v>13701</v>
      </c>
      <c r="H106" s="888">
        <v>14453.000000000002</v>
      </c>
      <c r="I106" s="888">
        <f>[11]Лист3!$B$23/1000</f>
        <v>14598.565000000001</v>
      </c>
      <c r="J106" s="290">
        <v>14600.999999999998</v>
      </c>
      <c r="K106" s="290">
        <f>K103</f>
        <v>14495.999999999998</v>
      </c>
      <c r="L106" s="290">
        <v>14453.000000000002</v>
      </c>
      <c r="M106" s="290">
        <f t="shared" ref="M106:N108" si="8">L106</f>
        <v>14453.000000000002</v>
      </c>
      <c r="N106" s="290">
        <f t="shared" si="8"/>
        <v>14453.000000000002</v>
      </c>
      <c r="O106" s="741"/>
      <c r="P106" s="1071">
        <f t="shared" si="4"/>
        <v>1.0580249616816289</v>
      </c>
      <c r="U106" s="1078"/>
    </row>
    <row r="107" spans="1:21" ht="15.75" customHeight="1">
      <c r="A107" s="202"/>
      <c r="B107" s="203" t="s">
        <v>510</v>
      </c>
      <c r="C107" s="289"/>
      <c r="D107" s="289">
        <f>D105-D106</f>
        <v>14561.140788000001</v>
      </c>
      <c r="E107" s="888">
        <v>13461</v>
      </c>
      <c r="H107" s="888">
        <v>14254</v>
      </c>
      <c r="I107" s="888">
        <f>I105-I106</f>
        <v>14373.110999999999</v>
      </c>
      <c r="J107" s="290">
        <v>14565</v>
      </c>
      <c r="K107" s="290">
        <f>K104</f>
        <v>14496</v>
      </c>
      <c r="L107" s="290">
        <v>14254</v>
      </c>
      <c r="M107" s="290">
        <f t="shared" si="8"/>
        <v>14254</v>
      </c>
      <c r="N107" s="290">
        <f t="shared" si="8"/>
        <v>14254</v>
      </c>
      <c r="O107" s="741"/>
      <c r="P107" s="1071">
        <f t="shared" si="4"/>
        <v>1.0768887898373078</v>
      </c>
      <c r="U107" s="1078"/>
    </row>
    <row r="108" spans="1:21" ht="24.75" customHeight="1">
      <c r="A108" s="498"/>
      <c r="B108" s="4" t="s">
        <v>35</v>
      </c>
      <c r="C108" s="925"/>
      <c r="D108" s="925">
        <f>6.474*1000</f>
        <v>6474</v>
      </c>
      <c r="E108" s="925">
        <v>4555.0000000000009</v>
      </c>
      <c r="H108" s="925">
        <v>5640</v>
      </c>
      <c r="I108" s="925">
        <f>6.9882*1000</f>
        <v>6988.2</v>
      </c>
      <c r="J108" s="540">
        <v>5731</v>
      </c>
      <c r="K108" s="1514">
        <f>K109</f>
        <v>5696.7999999999993</v>
      </c>
      <c r="L108" s="1514">
        <f>K108</f>
        <v>5696.7999999999993</v>
      </c>
      <c r="M108" s="1514">
        <f t="shared" si="8"/>
        <v>5696.7999999999993</v>
      </c>
      <c r="N108" s="1514">
        <f t="shared" si="8"/>
        <v>5696.7999999999993</v>
      </c>
      <c r="O108" s="741" t="s">
        <v>821</v>
      </c>
      <c r="P108" s="1071">
        <f t="shared" si="4"/>
        <v>1.2506695938529084</v>
      </c>
      <c r="U108" s="1078"/>
    </row>
    <row r="109" spans="1:21" ht="49.5" customHeight="1">
      <c r="A109" s="498"/>
      <c r="B109" s="673" t="s">
        <v>773</v>
      </c>
      <c r="C109" s="253"/>
      <c r="D109" s="253"/>
      <c r="E109" s="543">
        <v>4555.0000000000009</v>
      </c>
      <c r="H109" s="543">
        <v>5640</v>
      </c>
      <c r="I109" s="543">
        <v>6988.174</v>
      </c>
      <c r="J109" s="253">
        <v>5731</v>
      </c>
      <c r="K109" s="1513">
        <f>K114+K119</f>
        <v>5696.7999999999993</v>
      </c>
      <c r="L109" s="1511">
        <f>L114+L119</f>
        <v>5696.7999999999993</v>
      </c>
      <c r="M109" s="1511">
        <f>M114+M119</f>
        <v>5696.7999999999993</v>
      </c>
      <c r="N109" s="1511">
        <f>N114+N119</f>
        <v>5696.7999999999993</v>
      </c>
      <c r="O109" s="741" t="s">
        <v>1051</v>
      </c>
      <c r="P109" s="1072"/>
      <c r="U109" s="1078"/>
    </row>
    <row r="110" spans="1:21" ht="13.5" hidden="1" customHeight="1">
      <c r="A110" s="197"/>
      <c r="B110" s="206" t="s">
        <v>384</v>
      </c>
      <c r="C110" s="253"/>
      <c r="D110" s="253"/>
      <c r="E110" s="543">
        <v>0</v>
      </c>
      <c r="H110" s="543">
        <v>0</v>
      </c>
      <c r="I110" s="543"/>
      <c r="J110" s="253">
        <v>0</v>
      </c>
      <c r="K110" s="253">
        <f t="shared" ref="K110:N111" si="9">K115+K120</f>
        <v>0</v>
      </c>
      <c r="L110" s="1511">
        <f t="shared" si="9"/>
        <v>0</v>
      </c>
      <c r="M110" s="1511">
        <f t="shared" si="9"/>
        <v>0</v>
      </c>
      <c r="N110" s="1511">
        <f t="shared" si="9"/>
        <v>0</v>
      </c>
      <c r="O110" s="741"/>
      <c r="P110" s="1072"/>
      <c r="U110" s="1078"/>
    </row>
    <row r="111" spans="1:21" ht="13.5" hidden="1" customHeight="1">
      <c r="A111" s="197"/>
      <c r="B111" s="230" t="s">
        <v>394</v>
      </c>
      <c r="C111" s="253"/>
      <c r="D111" s="253"/>
      <c r="E111" s="543">
        <v>0</v>
      </c>
      <c r="H111" s="543">
        <v>0</v>
      </c>
      <c r="I111" s="543"/>
      <c r="J111" s="253">
        <v>0</v>
      </c>
      <c r="K111" s="253">
        <f t="shared" si="9"/>
        <v>0</v>
      </c>
      <c r="L111" s="1511">
        <f t="shared" si="9"/>
        <v>0</v>
      </c>
      <c r="M111" s="1511">
        <f t="shared" si="9"/>
        <v>0</v>
      </c>
      <c r="N111" s="1511">
        <f t="shared" si="9"/>
        <v>0</v>
      </c>
      <c r="O111" s="741"/>
      <c r="P111" s="1072"/>
      <c r="U111" s="1078"/>
    </row>
    <row r="112" spans="1:21" ht="13.5" customHeight="1">
      <c r="A112" s="197"/>
      <c r="B112" s="206" t="s">
        <v>395</v>
      </c>
      <c r="C112" s="253"/>
      <c r="D112" s="253"/>
      <c r="E112" s="543">
        <v>1583.9354685828712</v>
      </c>
      <c r="H112" s="543">
        <v>2158.8552322274882</v>
      </c>
      <c r="I112" s="543"/>
      <c r="J112" s="253">
        <v>2193.686439297669</v>
      </c>
      <c r="K112" s="1511">
        <f>K117+K122</f>
        <v>2013.487877330952</v>
      </c>
      <c r="L112" s="1511">
        <f t="shared" ref="L112:N113" si="10">L117+L122</f>
        <v>2013.487877330952</v>
      </c>
      <c r="M112" s="1511">
        <f t="shared" si="10"/>
        <v>2013.487877330952</v>
      </c>
      <c r="N112" s="1511">
        <f t="shared" si="10"/>
        <v>2013.487877330952</v>
      </c>
      <c r="O112" s="741"/>
      <c r="P112" s="1072"/>
      <c r="U112" s="1078"/>
    </row>
    <row r="113" spans="1:21" ht="13.5" customHeight="1">
      <c r="A113" s="197"/>
      <c r="B113" s="206" t="s">
        <v>401</v>
      </c>
      <c r="C113" s="253"/>
      <c r="D113" s="253"/>
      <c r="E113" s="543">
        <v>2971.0645314171297</v>
      </c>
      <c r="H113" s="543">
        <v>3481.1447677725123</v>
      </c>
      <c r="I113" s="543"/>
      <c r="J113" s="253">
        <v>3537.313560702331</v>
      </c>
      <c r="K113" s="1511">
        <f>K118+K123</f>
        <v>3683.3121226690473</v>
      </c>
      <c r="L113" s="1511">
        <f>L118+L123</f>
        <v>3683.3121226690473</v>
      </c>
      <c r="M113" s="1511">
        <f t="shared" si="10"/>
        <v>3683.3121226690473</v>
      </c>
      <c r="N113" s="1511">
        <f t="shared" si="10"/>
        <v>3683.3121226690473</v>
      </c>
      <c r="O113" s="741"/>
      <c r="P113" s="1072"/>
      <c r="U113" s="1078"/>
    </row>
    <row r="114" spans="1:21" ht="15" customHeight="1">
      <c r="A114" s="197"/>
      <c r="B114" s="294" t="s">
        <v>509</v>
      </c>
      <c r="C114" s="541"/>
      <c r="D114" s="541"/>
      <c r="E114" s="894">
        <v>2296.9999999999991</v>
      </c>
      <c r="H114" s="894">
        <v>2840</v>
      </c>
      <c r="I114" s="894">
        <f>I109-I119</f>
        <v>3556.4580000000001</v>
      </c>
      <c r="J114" s="541">
        <v>2869</v>
      </c>
      <c r="K114" s="1512">
        <f>SUM(K115:K118)</f>
        <v>2848.3999999999996</v>
      </c>
      <c r="L114" s="1512">
        <f>SUM(L115:L118)</f>
        <v>2848.3999999999996</v>
      </c>
      <c r="M114" s="1512">
        <f>SUM(M115:M118)</f>
        <v>2848.3999999999996</v>
      </c>
      <c r="N114" s="1512">
        <f>SUM(N115:N118)</f>
        <v>2848.3999999999996</v>
      </c>
      <c r="O114" s="741"/>
      <c r="P114" s="1072"/>
      <c r="U114" s="1078"/>
    </row>
    <row r="115" spans="1:21" ht="15" customHeight="1">
      <c r="A115" s="197"/>
      <c r="B115" s="292" t="s">
        <v>384</v>
      </c>
      <c r="C115" s="297"/>
      <c r="D115" s="297"/>
      <c r="E115" s="882"/>
      <c r="H115" s="882"/>
      <c r="I115" s="882"/>
      <c r="J115" s="542"/>
      <c r="K115" s="542"/>
      <c r="L115" s="542"/>
      <c r="M115" s="542"/>
      <c r="N115" s="542"/>
      <c r="O115" s="741"/>
      <c r="P115" s="1072"/>
      <c r="U115" s="1078"/>
    </row>
    <row r="116" spans="1:21" ht="15" customHeight="1">
      <c r="A116" s="197"/>
      <c r="B116" s="293" t="s">
        <v>394</v>
      </c>
      <c r="C116" s="297"/>
      <c r="D116" s="297"/>
      <c r="E116" s="882"/>
      <c r="H116" s="882"/>
      <c r="I116" s="882"/>
      <c r="J116" s="542"/>
      <c r="K116" s="542"/>
      <c r="L116" s="542"/>
      <c r="M116" s="542"/>
      <c r="N116" s="542"/>
      <c r="O116" s="741"/>
      <c r="P116" s="1072"/>
      <c r="U116" s="1078"/>
    </row>
    <row r="117" spans="1:21" ht="15" customHeight="1">
      <c r="A117" s="197"/>
      <c r="B117" s="292" t="s">
        <v>395</v>
      </c>
      <c r="C117" s="297"/>
      <c r="D117" s="297"/>
      <c r="E117" s="882">
        <v>798.74857768053903</v>
      </c>
      <c r="H117" s="882">
        <v>1087.083131121643</v>
      </c>
      <c r="I117" s="882"/>
      <c r="J117" s="542">
        <v>1098.182933928636</v>
      </c>
      <c r="K117" s="542">
        <f>'Информация о согл. объемах'!Y9*1000</f>
        <v>1006.743938665476</v>
      </c>
      <c r="L117" s="542">
        <f t="shared" ref="L117:N118" si="11">K117</f>
        <v>1006.743938665476</v>
      </c>
      <c r="M117" s="542">
        <f t="shared" si="11"/>
        <v>1006.743938665476</v>
      </c>
      <c r="N117" s="542">
        <f t="shared" si="11"/>
        <v>1006.743938665476</v>
      </c>
      <c r="O117" s="741"/>
      <c r="P117" s="1072"/>
      <c r="U117" s="1078"/>
    </row>
    <row r="118" spans="1:21" ht="15" customHeight="1">
      <c r="A118" s="197"/>
      <c r="B118" s="292" t="s">
        <v>401</v>
      </c>
      <c r="C118" s="297"/>
      <c r="D118" s="297"/>
      <c r="E118" s="882">
        <v>1498.2514223194601</v>
      </c>
      <c r="H118" s="882">
        <v>1752.916868878357</v>
      </c>
      <c r="I118" s="882"/>
      <c r="J118" s="542">
        <v>1770.817066071364</v>
      </c>
      <c r="K118" s="542">
        <f>'Информация о согл. объемах'!Y12*1000</f>
        <v>1841.6560613345237</v>
      </c>
      <c r="L118" s="542">
        <f t="shared" si="11"/>
        <v>1841.6560613345237</v>
      </c>
      <c r="M118" s="542">
        <f t="shared" si="11"/>
        <v>1841.6560613345237</v>
      </c>
      <c r="N118" s="542">
        <f t="shared" si="11"/>
        <v>1841.6560613345237</v>
      </c>
      <c r="O118" s="741"/>
      <c r="P118" s="1072"/>
      <c r="U118" s="1078"/>
    </row>
    <row r="119" spans="1:21" ht="15.75" customHeight="1">
      <c r="A119" s="197"/>
      <c r="B119" s="294" t="s">
        <v>510</v>
      </c>
      <c r="C119" s="541"/>
      <c r="D119" s="541"/>
      <c r="E119" s="894">
        <v>2258.0000000000018</v>
      </c>
      <c r="H119" s="894">
        <v>2800.0000000000005</v>
      </c>
      <c r="I119" s="894">
        <v>3431.7159999999999</v>
      </c>
      <c r="J119" s="541">
        <v>2862</v>
      </c>
      <c r="K119" s="1512">
        <f>SUM(K120:K123)</f>
        <v>2848.3999999999996</v>
      </c>
      <c r="L119" s="1512">
        <f>SUM(L120:L123)</f>
        <v>2848.3999999999996</v>
      </c>
      <c r="M119" s="1512">
        <f>SUM(M120:M123)</f>
        <v>2848.3999999999996</v>
      </c>
      <c r="N119" s="1512">
        <f>SUM(N120:N123)</f>
        <v>2848.3999999999996</v>
      </c>
      <c r="O119" s="741"/>
      <c r="P119" s="1072"/>
      <c r="U119" s="1078"/>
    </row>
    <row r="120" spans="1:21" ht="12" customHeight="1">
      <c r="A120" s="197"/>
      <c r="B120" s="206" t="s">
        <v>384</v>
      </c>
      <c r="C120" s="297"/>
      <c r="D120" s="297"/>
      <c r="E120" s="882"/>
      <c r="H120" s="882"/>
      <c r="I120" s="882"/>
      <c r="J120" s="542"/>
      <c r="K120" s="542"/>
      <c r="L120" s="1509"/>
      <c r="M120" s="1509"/>
      <c r="N120" s="1509"/>
      <c r="O120" s="741"/>
      <c r="P120" s="1072"/>
      <c r="U120" s="1078"/>
    </row>
    <row r="121" spans="1:21" ht="12" customHeight="1">
      <c r="A121" s="197"/>
      <c r="B121" s="230" t="s">
        <v>394</v>
      </c>
      <c r="C121" s="297"/>
      <c r="D121" s="297"/>
      <c r="E121" s="882"/>
      <c r="H121" s="882"/>
      <c r="I121" s="882"/>
      <c r="J121" s="542"/>
      <c r="K121" s="542"/>
      <c r="L121" s="1509"/>
      <c r="M121" s="1509"/>
      <c r="N121" s="1509"/>
      <c r="O121" s="741"/>
      <c r="P121" s="1072"/>
      <c r="U121" s="1078"/>
    </row>
    <row r="122" spans="1:21" ht="12" customHeight="1">
      <c r="A122" s="197"/>
      <c r="B122" s="206" t="s">
        <v>395</v>
      </c>
      <c r="C122" s="297"/>
      <c r="D122" s="297"/>
      <c r="E122" s="874">
        <v>785.18689090233204</v>
      </c>
      <c r="H122" s="874">
        <v>1071.7721011058452</v>
      </c>
      <c r="I122" s="874"/>
      <c r="J122" s="542">
        <v>1095.5035053690331</v>
      </c>
      <c r="K122" s="1509">
        <f>K117</f>
        <v>1006.743938665476</v>
      </c>
      <c r="L122" s="1509">
        <f t="shared" ref="L122:N124" si="12">K122</f>
        <v>1006.743938665476</v>
      </c>
      <c r="M122" s="1509">
        <f t="shared" si="12"/>
        <v>1006.743938665476</v>
      </c>
      <c r="N122" s="1509">
        <f t="shared" si="12"/>
        <v>1006.743938665476</v>
      </c>
      <c r="O122" s="741"/>
      <c r="P122" s="1072"/>
      <c r="U122" s="1078"/>
    </row>
    <row r="123" spans="1:21" ht="12" customHeight="1">
      <c r="A123" s="197"/>
      <c r="B123" s="206" t="s">
        <v>401</v>
      </c>
      <c r="C123" s="297"/>
      <c r="D123" s="297"/>
      <c r="E123" s="874">
        <v>1472.8131090976699</v>
      </c>
      <c r="H123" s="874">
        <v>1728.2278988941553</v>
      </c>
      <c r="I123" s="874"/>
      <c r="J123" s="542">
        <v>1766.4964946309669</v>
      </c>
      <c r="K123" s="1509">
        <f>K118</f>
        <v>1841.6560613345237</v>
      </c>
      <c r="L123" s="1509">
        <f t="shared" si="12"/>
        <v>1841.6560613345237</v>
      </c>
      <c r="M123" s="1509">
        <f t="shared" si="12"/>
        <v>1841.6560613345237</v>
      </c>
      <c r="N123" s="1509">
        <f t="shared" si="12"/>
        <v>1841.6560613345237</v>
      </c>
      <c r="O123" s="741"/>
      <c r="P123" s="1072"/>
      <c r="U123" s="1078"/>
    </row>
    <row r="124" spans="1:21" ht="28.5" customHeight="1">
      <c r="A124" s="197"/>
      <c r="B124" s="313" t="s">
        <v>582</v>
      </c>
      <c r="C124" s="716"/>
      <c r="D124" s="716">
        <f>D108/D105</f>
        <v>0.22225823435781525</v>
      </c>
      <c r="E124" s="716">
        <v>0.16769751859215085</v>
      </c>
      <c r="H124" s="716">
        <v>0.19646776047653883</v>
      </c>
      <c r="I124" s="716">
        <f>I108/I105</f>
        <v>0.24120799915061869</v>
      </c>
      <c r="J124" s="716">
        <v>0.19649591990674073</v>
      </c>
      <c r="K124" s="765">
        <v>0.19646776047653883</v>
      </c>
      <c r="L124" s="716">
        <f t="shared" si="12"/>
        <v>0.19646776047653883</v>
      </c>
      <c r="M124" s="716">
        <f t="shared" si="12"/>
        <v>0.19646776047653883</v>
      </c>
      <c r="N124" s="716">
        <f t="shared" si="12"/>
        <v>0.19646776047653883</v>
      </c>
      <c r="O124" s="915" t="s">
        <v>1053</v>
      </c>
      <c r="P124" s="1073"/>
      <c r="Q124" s="916"/>
      <c r="R124" s="916"/>
      <c r="S124" s="916"/>
      <c r="T124" s="916"/>
      <c r="U124" s="1078"/>
    </row>
    <row r="125" spans="1:21" ht="26.25" customHeight="1">
      <c r="A125" s="197"/>
      <c r="B125" s="4" t="s">
        <v>36</v>
      </c>
      <c r="C125" s="298"/>
      <c r="D125" s="298">
        <f>22.654*1000</f>
        <v>22654</v>
      </c>
      <c r="E125" s="885">
        <v>22607</v>
      </c>
      <c r="H125" s="885">
        <v>23067</v>
      </c>
      <c r="I125" s="885">
        <f>I126</f>
        <v>21983.502</v>
      </c>
      <c r="J125" s="1602">
        <v>23435</v>
      </c>
      <c r="K125" s="1515">
        <f>K102-K108</f>
        <v>23295.200000000001</v>
      </c>
      <c r="L125" s="1515">
        <f>L102-L108</f>
        <v>23010.2</v>
      </c>
      <c r="M125" s="1515">
        <f>M102-M108</f>
        <v>23010.2</v>
      </c>
      <c r="N125" s="1515">
        <f>N102-N108</f>
        <v>23010.2</v>
      </c>
      <c r="O125" s="741"/>
      <c r="P125" s="1072"/>
      <c r="Q125" s="1516"/>
      <c r="U125" s="1078"/>
    </row>
    <row r="126" spans="1:21" ht="15.75" customHeight="1">
      <c r="A126" s="198"/>
      <c r="B126" s="4" t="s">
        <v>579</v>
      </c>
      <c r="C126" s="253"/>
      <c r="D126" s="253"/>
      <c r="E126" s="543">
        <v>22607</v>
      </c>
      <c r="H126" s="543">
        <v>23067</v>
      </c>
      <c r="I126" s="978">
        <v>21983.502</v>
      </c>
      <c r="J126" s="253">
        <v>23435</v>
      </c>
      <c r="K126" s="1510">
        <f>SUM(K127:K128)</f>
        <v>23295.199999999997</v>
      </c>
      <c r="L126" s="1510">
        <f>SUM(L127:L128)</f>
        <v>23260.6</v>
      </c>
      <c r="M126" s="1510">
        <f>SUM(M127:M128)</f>
        <v>23101.599999999999</v>
      </c>
      <c r="N126" s="1510">
        <f>SUM(N127:N128)</f>
        <v>23101.599999999999</v>
      </c>
      <c r="O126" s="741"/>
      <c r="P126" s="1072"/>
      <c r="U126" s="1078"/>
    </row>
    <row r="127" spans="1:21" ht="15.75" customHeight="1">
      <c r="A127" s="198"/>
      <c r="B127" s="203" t="s">
        <v>509</v>
      </c>
      <c r="C127" s="297"/>
      <c r="D127" s="297">
        <v>11018.863002</v>
      </c>
      <c r="E127" s="882">
        <v>11404</v>
      </c>
      <c r="H127" s="882">
        <v>11613</v>
      </c>
      <c r="I127" s="882">
        <f>SUM([12]Доходы!$D$9:$D$14)</f>
        <v>11042.107000000002</v>
      </c>
      <c r="J127" s="297">
        <v>11732</v>
      </c>
      <c r="K127" s="297">
        <f>'Информация о согл. объемах'!L13*1000</f>
        <v>11647.6</v>
      </c>
      <c r="L127" s="297">
        <v>11613</v>
      </c>
      <c r="M127" s="297">
        <v>11453.999999999998</v>
      </c>
      <c r="N127" s="297">
        <f>M127</f>
        <v>11453.999999999998</v>
      </c>
      <c r="O127" s="741"/>
      <c r="U127" s="1078"/>
    </row>
    <row r="128" spans="1:21" ht="15.75" customHeight="1">
      <c r="A128" s="198"/>
      <c r="B128" s="203" t="s">
        <v>510</v>
      </c>
      <c r="C128" s="297"/>
      <c r="D128" s="297">
        <v>11635.136998</v>
      </c>
      <c r="E128" s="882">
        <v>11202.999999999998</v>
      </c>
      <c r="H128" s="882">
        <v>11453.999999999998</v>
      </c>
      <c r="I128" s="882">
        <f>I126-I127</f>
        <v>10941.394999999999</v>
      </c>
      <c r="J128" s="297">
        <v>11703</v>
      </c>
      <c r="K128" s="297">
        <f>'Информация о согл. объемах'!S13*1000</f>
        <v>11647.599999999999</v>
      </c>
      <c r="L128" s="297">
        <f>K128</f>
        <v>11647.599999999999</v>
      </c>
      <c r="M128" s="297">
        <f>L128</f>
        <v>11647.599999999999</v>
      </c>
      <c r="N128" s="297">
        <f>M128</f>
        <v>11647.599999999999</v>
      </c>
      <c r="O128" s="741"/>
      <c r="U128" s="1078"/>
    </row>
    <row r="129" spans="1:21" ht="15.75" customHeight="1">
      <c r="A129" s="198"/>
      <c r="B129" s="275" t="s">
        <v>594</v>
      </c>
      <c r="C129" s="366"/>
      <c r="D129" s="366">
        <v>1</v>
      </c>
      <c r="E129" s="368">
        <v>1</v>
      </c>
      <c r="H129" s="368">
        <v>1</v>
      </c>
      <c r="I129" s="368">
        <v>1</v>
      </c>
      <c r="J129" s="1603">
        <v>1</v>
      </c>
      <c r="K129" s="774">
        <f>'1.4'!R36/'1.4'!R19</f>
        <v>1</v>
      </c>
      <c r="L129" s="368">
        <f>K129</f>
        <v>1</v>
      </c>
      <c r="M129" s="368">
        <f>$K$129</f>
        <v>1</v>
      </c>
      <c r="N129" s="368">
        <f>$K$129</f>
        <v>1</v>
      </c>
      <c r="O129" s="741"/>
      <c r="U129" s="1078"/>
    </row>
    <row r="130" spans="1:21" ht="27" customHeight="1">
      <c r="A130" s="198"/>
      <c r="B130" s="256" t="s">
        <v>595</v>
      </c>
      <c r="C130" s="381">
        <v>4.0679999999999996</v>
      </c>
      <c r="D130" s="381">
        <v>4.1890000000000001</v>
      </c>
      <c r="E130" s="875">
        <v>4.1114999999999995</v>
      </c>
      <c r="H130" s="875">
        <v>4.1989999999999998</v>
      </c>
      <c r="I130" s="875">
        <v>4.1989999999999998</v>
      </c>
      <c r="J130" s="1604">
        <v>4.2613000000000003</v>
      </c>
      <c r="K130" s="873">
        <f>'Информация о согл. объемах'!E25</f>
        <v>4.2355</v>
      </c>
      <c r="L130" s="873">
        <f>K130</f>
        <v>4.2355</v>
      </c>
      <c r="M130" s="873">
        <f t="shared" ref="M130:N131" si="13">L130</f>
        <v>4.2355</v>
      </c>
      <c r="N130" s="873">
        <f t="shared" si="13"/>
        <v>4.2355</v>
      </c>
      <c r="O130" s="741" t="s">
        <v>813</v>
      </c>
      <c r="U130" s="1078"/>
    </row>
    <row r="131" spans="1:21" ht="15.75" customHeight="1">
      <c r="A131" s="204"/>
      <c r="B131" s="256" t="s">
        <v>50</v>
      </c>
      <c r="C131" s="382"/>
      <c r="D131" s="382"/>
      <c r="E131" s="384"/>
      <c r="H131" s="384">
        <v>26.6966</v>
      </c>
      <c r="I131" s="384">
        <f>H131</f>
        <v>26.6966</v>
      </c>
      <c r="J131" s="384">
        <v>26.6966</v>
      </c>
      <c r="K131" s="383">
        <f>'Информация о согл. объемах'!G89</f>
        <v>26.714999999999993</v>
      </c>
      <c r="L131" s="384">
        <f>K131</f>
        <v>26.714999999999993</v>
      </c>
      <c r="M131" s="384">
        <f t="shared" si="13"/>
        <v>26.714999999999993</v>
      </c>
      <c r="N131" s="384">
        <f t="shared" si="13"/>
        <v>26.714999999999993</v>
      </c>
      <c r="O131" s="741" t="s">
        <v>813</v>
      </c>
      <c r="U131" s="1078"/>
    </row>
    <row r="132" spans="1:21" ht="27.75" customHeight="1">
      <c r="A132" s="198"/>
      <c r="B132" s="303" t="s">
        <v>581</v>
      </c>
      <c r="C132" s="304"/>
      <c r="D132" s="304">
        <v>2749.9801880373361</v>
      </c>
      <c r="E132" s="895">
        <v>3062.2492415856818</v>
      </c>
      <c r="H132" s="895">
        <v>3515.1222074984621</v>
      </c>
      <c r="I132" s="895">
        <v>3571.1204721004369</v>
      </c>
      <c r="J132" s="304">
        <v>3683.0998725843169</v>
      </c>
      <c r="K132" s="304">
        <f>(K151+K156)/K109*1000</f>
        <v>3863.6136573163599</v>
      </c>
      <c r="L132" s="304">
        <f>(L151+L156)/L109*1000</f>
        <v>4007.05188845373</v>
      </c>
      <c r="M132" s="304">
        <f>(M151+M156)/M109*1000</f>
        <v>4231.4467942071396</v>
      </c>
      <c r="N132" s="304">
        <f>(N151+N156)/N109*1000</f>
        <v>4468.4078146827396</v>
      </c>
      <c r="O132" s="741"/>
      <c r="R132" s="1542"/>
      <c r="S132" s="1542"/>
      <c r="T132" s="1542"/>
      <c r="U132" s="1542"/>
    </row>
    <row r="133" spans="1:21" ht="15.75" customHeight="1">
      <c r="A133" s="198"/>
      <c r="B133" s="302" t="s">
        <v>509</v>
      </c>
      <c r="C133" s="299"/>
      <c r="D133" s="299">
        <v>2695.7901000000002</v>
      </c>
      <c r="E133" s="882">
        <v>2803.6217040000001</v>
      </c>
      <c r="H133" s="882">
        <v>3381.7052642704225</v>
      </c>
      <c r="I133" s="882">
        <v>3498.7359147781299</v>
      </c>
      <c r="J133" s="301">
        <v>3650.4451070583304</v>
      </c>
      <c r="K133" s="300">
        <f>J133*1.049</f>
        <v>3829.3169173041883</v>
      </c>
      <c r="L133" s="301">
        <f>K139</f>
        <v>3897.9103973285314</v>
      </c>
      <c r="M133" s="301">
        <f>L139</f>
        <v>4116.1933795789291</v>
      </c>
      <c r="N133" s="301">
        <f>M139</f>
        <v>4346.7002088353493</v>
      </c>
      <c r="O133" s="741" t="s">
        <v>1052</v>
      </c>
      <c r="U133" s="1078"/>
    </row>
    <row r="134" spans="1:21" ht="15.75" customHeight="1">
      <c r="A134" s="198"/>
      <c r="B134" s="302" t="s">
        <v>806</v>
      </c>
      <c r="C134" s="752"/>
      <c r="D134" s="752"/>
      <c r="E134" s="885"/>
      <c r="H134" s="885"/>
      <c r="I134" s="885"/>
      <c r="J134" s="754"/>
      <c r="K134" s="753"/>
      <c r="L134" s="754"/>
      <c r="M134" s="754"/>
      <c r="N134" s="754"/>
      <c r="O134" s="741"/>
      <c r="U134" s="1078"/>
    </row>
    <row r="135" spans="1:21" ht="15.75" customHeight="1">
      <c r="A135" s="198"/>
      <c r="B135" s="302" t="s">
        <v>488</v>
      </c>
      <c r="C135" s="752"/>
      <c r="D135" s="752"/>
      <c r="E135" s="885"/>
      <c r="H135" s="885"/>
      <c r="I135" s="885"/>
      <c r="J135" s="754"/>
      <c r="K135" s="753"/>
      <c r="L135" s="754"/>
      <c r="M135" s="754"/>
      <c r="N135" s="754"/>
      <c r="O135" s="741"/>
      <c r="U135" s="1078"/>
    </row>
    <row r="136" spans="1:21" ht="15.75" customHeight="1">
      <c r="A136" s="198"/>
      <c r="B136" s="302" t="s">
        <v>807</v>
      </c>
      <c r="C136" s="752"/>
      <c r="D136" s="752"/>
      <c r="E136" s="885"/>
      <c r="H136" s="885"/>
      <c r="I136" s="885"/>
      <c r="J136" s="754"/>
      <c r="K136" s="753"/>
      <c r="L136" s="754"/>
      <c r="M136" s="754"/>
      <c r="N136" s="754"/>
      <c r="O136" s="741"/>
      <c r="U136" s="1078"/>
    </row>
    <row r="137" spans="1:21" ht="15.75" customHeight="1">
      <c r="A137" s="198"/>
      <c r="B137" s="302" t="s">
        <v>808</v>
      </c>
      <c r="C137" s="752"/>
      <c r="D137" s="752"/>
      <c r="E137" s="885"/>
      <c r="H137" s="885"/>
      <c r="I137" s="885"/>
      <c r="J137" s="754"/>
      <c r="K137" s="753"/>
      <c r="L137" s="754"/>
      <c r="M137" s="754"/>
      <c r="N137" s="754"/>
      <c r="O137" s="741"/>
      <c r="U137" s="1078"/>
    </row>
    <row r="138" spans="1:21" ht="15.75" customHeight="1">
      <c r="A138" s="198"/>
      <c r="B138" s="302" t="s">
        <v>809</v>
      </c>
      <c r="C138" s="752"/>
      <c r="D138" s="752"/>
      <c r="E138" s="885"/>
      <c r="H138" s="885"/>
      <c r="I138" s="885"/>
      <c r="J138" s="754"/>
      <c r="K138" s="753"/>
      <c r="L138" s="754"/>
      <c r="M138" s="754"/>
      <c r="N138" s="754"/>
      <c r="O138" s="741"/>
      <c r="U138" s="1078"/>
    </row>
    <row r="139" spans="1:21" ht="15.75" customHeight="1">
      <c r="A139" s="198"/>
      <c r="B139" s="302" t="s">
        <v>510</v>
      </c>
      <c r="C139" s="299"/>
      <c r="D139" s="299">
        <v>2803.6217040000001</v>
      </c>
      <c r="E139" s="917">
        <v>3325.343773841797</v>
      </c>
      <c r="H139" s="917">
        <v>3650.4451070583304</v>
      </c>
      <c r="I139" s="917">
        <v>3646.1361895914465</v>
      </c>
      <c r="J139" s="301">
        <v>3715.8345065095632</v>
      </c>
      <c r="K139" s="300">
        <f>J139*1.049</f>
        <v>3897.9103973285314</v>
      </c>
      <c r="L139" s="301">
        <f>L133*1.056</f>
        <v>4116.1933795789291</v>
      </c>
      <c r="M139" s="301">
        <f>M133*1.056</f>
        <v>4346.7002088353493</v>
      </c>
      <c r="N139" s="301">
        <f>N133*1.056</f>
        <v>4590.1154205301291</v>
      </c>
      <c r="O139" s="741"/>
      <c r="U139" s="1078"/>
    </row>
    <row r="140" spans="1:21" ht="15.75" customHeight="1">
      <c r="A140" s="198"/>
      <c r="B140" s="302" t="s">
        <v>806</v>
      </c>
      <c r="C140" s="752"/>
      <c r="D140" s="752"/>
      <c r="E140" s="885"/>
      <c r="H140" s="885"/>
      <c r="I140" s="885"/>
      <c r="J140" s="754"/>
      <c r="K140" s="753"/>
      <c r="L140" s="754"/>
      <c r="M140" s="754"/>
      <c r="N140" s="754"/>
      <c r="O140" s="741"/>
      <c r="U140" s="1078"/>
    </row>
    <row r="141" spans="1:21" ht="15.75" customHeight="1">
      <c r="A141" s="198"/>
      <c r="B141" s="302" t="s">
        <v>488</v>
      </c>
      <c r="C141" s="752"/>
      <c r="D141" s="752"/>
      <c r="E141" s="885"/>
      <c r="H141" s="885"/>
      <c r="I141" s="885"/>
      <c r="J141" s="754"/>
      <c r="K141" s="753"/>
      <c r="L141" s="754"/>
      <c r="M141" s="754"/>
      <c r="N141" s="754"/>
      <c r="O141" s="741"/>
      <c r="U141" s="1078"/>
    </row>
    <row r="142" spans="1:21" ht="15.75" customHeight="1">
      <c r="A142" s="198"/>
      <c r="B142" s="302" t="s">
        <v>807</v>
      </c>
      <c r="C142" s="752"/>
      <c r="D142" s="752"/>
      <c r="E142" s="885"/>
      <c r="H142" s="885"/>
      <c r="I142" s="885"/>
      <c r="J142" s="754"/>
      <c r="K142" s="753"/>
      <c r="L142" s="754"/>
      <c r="M142" s="754"/>
      <c r="N142" s="754"/>
      <c r="O142" s="741"/>
      <c r="U142" s="1078"/>
    </row>
    <row r="143" spans="1:21" ht="15.75" customHeight="1">
      <c r="A143" s="198"/>
      <c r="B143" s="302" t="s">
        <v>808</v>
      </c>
      <c r="C143" s="752"/>
      <c r="D143" s="752"/>
      <c r="E143" s="885"/>
      <c r="H143" s="885"/>
      <c r="I143" s="885"/>
      <c r="J143" s="754"/>
      <c r="K143" s="753"/>
      <c r="L143" s="754"/>
      <c r="M143" s="754"/>
      <c r="N143" s="754"/>
      <c r="O143" s="741"/>
      <c r="U143" s="1078"/>
    </row>
    <row r="144" spans="1:21" ht="15.75" customHeight="1">
      <c r="A144" s="198"/>
      <c r="B144" s="302" t="s">
        <v>809</v>
      </c>
      <c r="C144" s="752"/>
      <c r="D144" s="752"/>
      <c r="E144" s="885"/>
      <c r="H144" s="885"/>
      <c r="I144" s="885"/>
      <c r="J144" s="754"/>
      <c r="K144" s="753"/>
      <c r="L144" s="754"/>
      <c r="M144" s="754"/>
      <c r="N144" s="754"/>
      <c r="O144" s="741"/>
      <c r="U144" s="1078"/>
    </row>
    <row r="145" spans="1:21" ht="15.75" customHeight="1">
      <c r="A145" s="198"/>
      <c r="B145" s="4" t="s">
        <v>30</v>
      </c>
      <c r="C145" s="254"/>
      <c r="D145" s="254">
        <v>1.0550247392555923</v>
      </c>
      <c r="E145" s="896">
        <v>1.1135532011855012</v>
      </c>
      <c r="H145" s="896">
        <v>1.1478889960238101</v>
      </c>
      <c r="I145" s="896"/>
      <c r="J145" s="684">
        <v>1.0477871479766834</v>
      </c>
      <c r="K145" s="684">
        <f>K132/E132</f>
        <v>1.2616914406731043</v>
      </c>
      <c r="L145" s="684">
        <f>L132/K132</f>
        <v>1.0371254074189709</v>
      </c>
      <c r="M145" s="684">
        <f>M132/L132</f>
        <v>1.0560000000000003</v>
      </c>
      <c r="N145" s="684">
        <f>N132/M132</f>
        <v>1.056</v>
      </c>
      <c r="O145" s="741"/>
      <c r="U145" s="1078"/>
    </row>
    <row r="146" spans="1:21" ht="15.75" customHeight="1">
      <c r="A146" s="198" t="s">
        <v>48</v>
      </c>
      <c r="B146" s="305" t="s">
        <v>37</v>
      </c>
      <c r="C146" s="306"/>
      <c r="D146" s="306">
        <v>12757.158092305202</v>
      </c>
      <c r="E146" s="897">
        <v>13948.545295422782</v>
      </c>
      <c r="H146" s="897">
        <v>19825.289250291327</v>
      </c>
      <c r="I146" s="897">
        <f>[11]Лист3!$G$20/1000</f>
        <v>24955.610968215999</v>
      </c>
      <c r="J146" s="1065">
        <v>21107.84536978072</v>
      </c>
      <c r="K146" s="1065">
        <f>SUM(K147:K150)</f>
        <v>22010.234282999838</v>
      </c>
      <c r="L146" s="306">
        <f>L132*L108/1000</f>
        <v>22827.373198143207</v>
      </c>
      <c r="M146" s="306">
        <f>M132*M108/1000</f>
        <v>24105.706097239228</v>
      </c>
      <c r="N146" s="306">
        <f>N132*N108/1000</f>
        <v>25455.625638684625</v>
      </c>
      <c r="O146" s="909"/>
      <c r="U146" s="1078"/>
    </row>
    <row r="147" spans="1:21" ht="15.75" customHeight="1">
      <c r="A147" s="198"/>
      <c r="B147" s="302" t="s">
        <v>384</v>
      </c>
      <c r="C147" s="309"/>
      <c r="D147" s="309">
        <v>0</v>
      </c>
      <c r="E147" s="898">
        <v>0</v>
      </c>
      <c r="H147" s="898">
        <v>0</v>
      </c>
      <c r="I147" s="898"/>
      <c r="J147" s="309">
        <v>0</v>
      </c>
      <c r="K147" s="309">
        <f t="shared" ref="K147:N150" si="14">K152+K157</f>
        <v>0</v>
      </c>
      <c r="L147" s="309">
        <f t="shared" si="14"/>
        <v>0</v>
      </c>
      <c r="M147" s="309">
        <f t="shared" si="14"/>
        <v>0</v>
      </c>
      <c r="N147" s="309">
        <f t="shared" si="14"/>
        <v>0</v>
      </c>
      <c r="O147" s="741"/>
      <c r="U147" s="1078"/>
    </row>
    <row r="148" spans="1:21" ht="15.75" customHeight="1">
      <c r="A148" s="198"/>
      <c r="B148" s="308" t="s">
        <v>394</v>
      </c>
      <c r="C148" s="309"/>
      <c r="D148" s="309">
        <v>0</v>
      </c>
      <c r="E148" s="898">
        <v>0</v>
      </c>
      <c r="H148" s="898">
        <v>0</v>
      </c>
      <c r="I148" s="898"/>
      <c r="J148" s="309">
        <v>0</v>
      </c>
      <c r="K148" s="309">
        <f t="shared" si="14"/>
        <v>0</v>
      </c>
      <c r="L148" s="309">
        <f t="shared" si="14"/>
        <v>0</v>
      </c>
      <c r="M148" s="309">
        <f t="shared" si="14"/>
        <v>0</v>
      </c>
      <c r="N148" s="309">
        <f t="shared" si="14"/>
        <v>0</v>
      </c>
      <c r="O148" s="741"/>
      <c r="U148" s="1078"/>
    </row>
    <row r="149" spans="1:21" ht="15.75" customHeight="1">
      <c r="A149" s="198"/>
      <c r="B149" s="302" t="s">
        <v>395</v>
      </c>
      <c r="C149" s="309"/>
      <c r="D149" s="309">
        <v>3793.6020940032004</v>
      </c>
      <c r="E149" s="898">
        <v>4850.4051873885574</v>
      </c>
      <c r="H149" s="898">
        <v>7588.6399695770933</v>
      </c>
      <c r="I149" s="898"/>
      <c r="J149" s="309">
        <v>8079.5662450671889</v>
      </c>
      <c r="K149" s="309">
        <f t="shared" si="14"/>
        <v>7779.339261696794</v>
      </c>
      <c r="L149" s="309">
        <f t="shared" si="14"/>
        <v>8068.1504012376845</v>
      </c>
      <c r="M149" s="309">
        <f t="shared" si="14"/>
        <v>8519.9668237069945</v>
      </c>
      <c r="N149" s="309">
        <f t="shared" si="14"/>
        <v>8997.0849658345869</v>
      </c>
      <c r="O149" s="741"/>
      <c r="U149" s="1078"/>
    </row>
    <row r="150" spans="1:21" ht="15.75" customHeight="1">
      <c r="A150" s="198"/>
      <c r="B150" s="302" t="s">
        <v>401</v>
      </c>
      <c r="C150" s="309"/>
      <c r="D150" s="309">
        <v>8963.5559983020012</v>
      </c>
      <c r="E150" s="898">
        <v>9098.1401080342257</v>
      </c>
      <c r="H150" s="898">
        <v>12236.649280714235</v>
      </c>
      <c r="I150" s="898"/>
      <c r="J150" s="309">
        <v>13028.279124713532</v>
      </c>
      <c r="K150" s="309">
        <f t="shared" si="14"/>
        <v>14230.895021303044</v>
      </c>
      <c r="L150" s="309">
        <f t="shared" si="14"/>
        <v>14759.222796905524</v>
      </c>
      <c r="M150" s="309">
        <f t="shared" si="14"/>
        <v>15585.739273532232</v>
      </c>
      <c r="N150" s="309">
        <f t="shared" si="14"/>
        <v>16458.540672850038</v>
      </c>
      <c r="O150" s="741"/>
      <c r="U150" s="1078"/>
    </row>
    <row r="151" spans="1:21" ht="15.75" customHeight="1">
      <c r="A151" s="198"/>
      <c r="B151" s="305" t="s">
        <v>511</v>
      </c>
      <c r="C151" s="307"/>
      <c r="D151" s="307">
        <v>6221.0748137700011</v>
      </c>
      <c r="E151" s="899">
        <v>6439.9190540879972</v>
      </c>
      <c r="H151" s="899">
        <v>9604.0429505280008</v>
      </c>
      <c r="I151" s="899">
        <v>12512.503899999998</v>
      </c>
      <c r="J151" s="1066">
        <v>10473.127012150351</v>
      </c>
      <c r="K151" s="1066">
        <f>SUM(K152:K155)</f>
        <v>10907.42630724925</v>
      </c>
      <c r="L151" s="307">
        <f>SUM(L152:L155)</f>
        <v>11102.807975750588</v>
      </c>
      <c r="M151" s="307">
        <f>SUM(M152:M155)</f>
        <v>11724.565222392619</v>
      </c>
      <c r="N151" s="307">
        <f>SUM(N152:N155)</f>
        <v>12381.140874846607</v>
      </c>
      <c r="O151" s="741"/>
      <c r="U151" s="1078"/>
    </row>
    <row r="152" spans="1:21" ht="15.75" customHeight="1">
      <c r="A152" s="198"/>
      <c r="B152" s="302" t="s">
        <v>384</v>
      </c>
      <c r="C152" s="310"/>
      <c r="D152" s="310">
        <v>0</v>
      </c>
      <c r="E152" s="900">
        <v>0</v>
      </c>
      <c r="H152" s="900">
        <v>0</v>
      </c>
      <c r="I152" s="900"/>
      <c r="J152" s="310">
        <v>0</v>
      </c>
      <c r="K152" s="310">
        <f>K115*K133/1000</f>
        <v>0</v>
      </c>
      <c r="L152" s="310">
        <f>L115*L133/1000</f>
        <v>0</v>
      </c>
      <c r="M152" s="310">
        <f>M115*M133/1000</f>
        <v>0</v>
      </c>
      <c r="N152" s="310">
        <f>N115*N133/1000</f>
        <v>0</v>
      </c>
      <c r="O152" s="741"/>
      <c r="U152" s="1078"/>
    </row>
    <row r="153" spans="1:21" ht="15.75" customHeight="1">
      <c r="A153" s="198"/>
      <c r="B153" s="308" t="s">
        <v>394</v>
      </c>
      <c r="C153" s="310"/>
      <c r="D153" s="310">
        <v>0</v>
      </c>
      <c r="E153" s="900">
        <v>0</v>
      </c>
      <c r="H153" s="900">
        <v>0</v>
      </c>
      <c r="I153" s="900"/>
      <c r="J153" s="310">
        <v>0</v>
      </c>
      <c r="K153" s="310">
        <f>K116*K133/1000</f>
        <v>0</v>
      </c>
      <c r="L153" s="310">
        <f>L116*L133/1000</f>
        <v>0</v>
      </c>
      <c r="M153" s="310">
        <f>M116*M133/1000</f>
        <v>0</v>
      </c>
      <c r="N153" s="310">
        <f>N116*N133/1000</f>
        <v>0</v>
      </c>
      <c r="O153" s="741"/>
      <c r="U153" s="1078"/>
    </row>
    <row r="154" spans="1:21" ht="15.75" customHeight="1">
      <c r="A154" s="198"/>
      <c r="B154" s="302" t="s">
        <v>395</v>
      </c>
      <c r="C154" s="310"/>
      <c r="D154" s="310">
        <v>1849.8511666200002</v>
      </c>
      <c r="E154" s="900">
        <v>2239.3888484242893</v>
      </c>
      <c r="H154" s="900">
        <v>3676.1947472136344</v>
      </c>
      <c r="I154" s="900"/>
      <c r="J154" s="310">
        <v>4008.856517814751</v>
      </c>
      <c r="K154" s="310">
        <f>K117*K133/1000</f>
        <v>3855.1415957251575</v>
      </c>
      <c r="L154" s="310">
        <f>L117*L133/1000</f>
        <v>3924.1976659716365</v>
      </c>
      <c r="M154" s="310">
        <f>M117*M133/1000</f>
        <v>4143.952735266048</v>
      </c>
      <c r="N154" s="310">
        <f>N117*N133/1000</f>
        <v>4376.0140884409466</v>
      </c>
      <c r="O154" s="741"/>
      <c r="U154" s="1078"/>
    </row>
    <row r="155" spans="1:21" ht="15.75" customHeight="1">
      <c r="A155" s="198"/>
      <c r="B155" s="302" t="s">
        <v>401</v>
      </c>
      <c r="C155" s="310"/>
      <c r="D155" s="310">
        <v>4371.2236471500009</v>
      </c>
      <c r="E155" s="900">
        <v>4200.5302056637083</v>
      </c>
      <c r="H155" s="900">
        <v>5927.8482033143655</v>
      </c>
      <c r="I155" s="900"/>
      <c r="J155" s="310">
        <v>6464.2704943355993</v>
      </c>
      <c r="K155" s="310">
        <f>K118*K133/1000</f>
        <v>7052.284711524092</v>
      </c>
      <c r="L155" s="310">
        <f>L118*L133/1000</f>
        <v>7178.610309778951</v>
      </c>
      <c r="M155" s="310">
        <f>M118*M133/1000</f>
        <v>7580.612487126572</v>
      </c>
      <c r="N155" s="310">
        <f>N118*N133/1000</f>
        <v>8005.1267864056608</v>
      </c>
      <c r="O155" s="741"/>
      <c r="U155" s="1078"/>
    </row>
    <row r="156" spans="1:21" ht="15.75" customHeight="1">
      <c r="A156" s="198"/>
      <c r="B156" s="305" t="s">
        <v>512</v>
      </c>
      <c r="C156" s="307"/>
      <c r="D156" s="307">
        <v>6536.0832785352004</v>
      </c>
      <c r="E156" s="899">
        <v>7508.6262413347849</v>
      </c>
      <c r="H156" s="899">
        <v>10221.246299763327</v>
      </c>
      <c r="I156" s="899">
        <v>12443.107068216001</v>
      </c>
      <c r="J156" s="1066">
        <v>10634.718357630371</v>
      </c>
      <c r="K156" s="1066">
        <f>SUM(K157:K160)</f>
        <v>11102.807975750588</v>
      </c>
      <c r="L156" s="307">
        <f>SUM(L157:L160)</f>
        <v>11724.565222392619</v>
      </c>
      <c r="M156" s="307">
        <f>SUM(M157:M160)</f>
        <v>12381.140874846607</v>
      </c>
      <c r="N156" s="307">
        <f>SUM(N157:N160)</f>
        <v>13074.48476383802</v>
      </c>
      <c r="O156" s="741"/>
      <c r="U156" s="1078"/>
    </row>
    <row r="157" spans="1:21" ht="15.75" customHeight="1">
      <c r="A157" s="198"/>
      <c r="B157" s="206" t="s">
        <v>384</v>
      </c>
      <c r="C157" s="291"/>
      <c r="D157" s="291">
        <v>0</v>
      </c>
      <c r="E157" s="901">
        <v>0</v>
      </c>
      <c r="H157" s="901">
        <v>0</v>
      </c>
      <c r="I157" s="901"/>
      <c r="J157" s="291">
        <v>0</v>
      </c>
      <c r="K157" s="291">
        <f>K120*K139/1000</f>
        <v>0</v>
      </c>
      <c r="L157" s="291">
        <f>L120*L139/1000</f>
        <v>0</v>
      </c>
      <c r="M157" s="291">
        <f>M120*M139/1000</f>
        <v>0</v>
      </c>
      <c r="N157" s="291">
        <f>N120*N139/1000</f>
        <v>0</v>
      </c>
      <c r="O157" s="741"/>
      <c r="U157" s="1078"/>
    </row>
    <row r="158" spans="1:21" ht="15.75" customHeight="1">
      <c r="A158" s="198"/>
      <c r="B158" s="230" t="s">
        <v>394</v>
      </c>
      <c r="C158" s="291"/>
      <c r="D158" s="291">
        <v>0</v>
      </c>
      <c r="E158" s="901">
        <v>0</v>
      </c>
      <c r="H158" s="901">
        <v>0</v>
      </c>
      <c r="I158" s="901"/>
      <c r="J158" s="291">
        <v>0</v>
      </c>
      <c r="K158" s="291">
        <f>K121*K139/1000</f>
        <v>0</v>
      </c>
      <c r="L158" s="291">
        <f>L121*L139/1000</f>
        <v>0</v>
      </c>
      <c r="M158" s="291">
        <f>M121*M139/1000</f>
        <v>0</v>
      </c>
      <c r="N158" s="291">
        <f>N121*N139/1000</f>
        <v>0</v>
      </c>
      <c r="O158" s="741"/>
      <c r="U158" s="1078"/>
    </row>
    <row r="159" spans="1:21" ht="15.75" customHeight="1">
      <c r="A159" s="198"/>
      <c r="B159" s="206" t="s">
        <v>395</v>
      </c>
      <c r="C159" s="291"/>
      <c r="D159" s="291">
        <v>1943.7509273832</v>
      </c>
      <c r="E159" s="901">
        <v>2611.016338964268</v>
      </c>
      <c r="H159" s="901">
        <v>3912.4452223634589</v>
      </c>
      <c r="I159" s="901"/>
      <c r="J159" s="291">
        <v>4070.7097272524379</v>
      </c>
      <c r="K159" s="291">
        <f>K122*K139/1000</f>
        <v>3924.1976659716365</v>
      </c>
      <c r="L159" s="291">
        <f>L122*L139/1000</f>
        <v>4143.952735266048</v>
      </c>
      <c r="M159" s="291">
        <f>M122*M139/1000</f>
        <v>4376.0140884409466</v>
      </c>
      <c r="N159" s="291">
        <f>N122*N139/1000</f>
        <v>4621.0708773936394</v>
      </c>
      <c r="O159" s="741"/>
      <c r="U159" s="1078"/>
    </row>
    <row r="160" spans="1:21" ht="15.75" customHeight="1">
      <c r="A160" s="979"/>
      <c r="B160" s="206" t="s">
        <v>401</v>
      </c>
      <c r="C160" s="291"/>
      <c r="D160" s="291">
        <v>4592.3323511520002</v>
      </c>
      <c r="E160" s="901">
        <v>4897.6099023705165</v>
      </c>
      <c r="H160" s="901">
        <v>6308.8010773998685</v>
      </c>
      <c r="I160" s="901"/>
      <c r="J160" s="291">
        <v>6564.0086303779326</v>
      </c>
      <c r="K160" s="291">
        <f>K123*K139/1000</f>
        <v>7178.610309778951</v>
      </c>
      <c r="L160" s="291">
        <f>L123*L139/1000</f>
        <v>7580.612487126572</v>
      </c>
      <c r="M160" s="291">
        <f>M123*M139/1000</f>
        <v>8005.1267864056608</v>
      </c>
      <c r="N160" s="291">
        <f>N123*N139/1000</f>
        <v>8453.4138864443794</v>
      </c>
      <c r="O160" s="741"/>
      <c r="U160" s="1078"/>
    </row>
    <row r="161" spans="1:21" ht="15.75" customHeight="1">
      <c r="A161" s="198" t="s">
        <v>49</v>
      </c>
      <c r="B161" s="200" t="s">
        <v>38</v>
      </c>
      <c r="C161" s="674"/>
      <c r="D161" s="674">
        <v>44150.151366945895</v>
      </c>
      <c r="E161" s="902">
        <v>44406.131512635227</v>
      </c>
      <c r="H161" s="902">
        <v>57698.457388392868</v>
      </c>
      <c r="I161" s="902">
        <f>56768873.94/1000</f>
        <v>56768.873939999998</v>
      </c>
      <c r="J161" s="674">
        <v>55260.768047994767</v>
      </c>
      <c r="K161" s="312">
        <f>K146+K85</f>
        <v>63852.063172114104</v>
      </c>
      <c r="L161" s="674">
        <f>L146+L85</f>
        <v>69761.337295140635</v>
      </c>
      <c r="M161" s="674">
        <f>M146+M85</f>
        <v>72281.70972422832</v>
      </c>
      <c r="N161" s="674">
        <f>N146+N85</f>
        <v>74992.200599559626</v>
      </c>
      <c r="O161" s="741"/>
      <c r="U161" s="1078"/>
    </row>
    <row r="162" spans="1:21" ht="15.75" customHeight="1">
      <c r="A162" s="198"/>
      <c r="B162" s="200" t="s">
        <v>511</v>
      </c>
      <c r="C162" s="902"/>
      <c r="D162" s="902">
        <v>21917.571451090349</v>
      </c>
      <c r="E162" s="902">
        <v>21668.712162694217</v>
      </c>
      <c r="H162" s="902">
        <v>28540.627019578769</v>
      </c>
      <c r="I162" s="902">
        <f>28068517.01/1000</f>
        <v>28068.517010000003</v>
      </c>
      <c r="J162" s="674">
        <v>27549.588351257375</v>
      </c>
      <c r="K162" s="674">
        <f>K90+K151</f>
        <v>31828.340751806383</v>
      </c>
      <c r="L162" s="674">
        <f>L90+L151</f>
        <v>34569.790024249305</v>
      </c>
      <c r="M162" s="674">
        <f>M90+M151</f>
        <v>35812.567035887165</v>
      </c>
      <c r="N162" s="674">
        <f>N90+N151</f>
        <v>37149.428355284108</v>
      </c>
      <c r="O162" s="987"/>
      <c r="U162" s="1078"/>
    </row>
    <row r="163" spans="1:21" ht="15.75" customHeight="1">
      <c r="A163" s="198"/>
      <c r="B163" s="200" t="s">
        <v>512</v>
      </c>
      <c r="C163" s="902"/>
      <c r="D163" s="902">
        <v>22232.579915855549</v>
      </c>
      <c r="E163" s="902">
        <v>22737.419349941007</v>
      </c>
      <c r="H163" s="902">
        <v>29157.830368814095</v>
      </c>
      <c r="I163" s="902">
        <v>28700.356929999998</v>
      </c>
      <c r="J163" s="674">
        <v>27711.179696737396</v>
      </c>
      <c r="K163" s="674">
        <f>K95+K156</f>
        <v>32023.72242030772</v>
      </c>
      <c r="L163" s="674">
        <f>L95+L156</f>
        <v>35191.547270891337</v>
      </c>
      <c r="M163" s="674">
        <f>M95+M156</f>
        <v>36469.142688341155</v>
      </c>
      <c r="N163" s="674">
        <f>N95+N156</f>
        <v>37842.772244275518</v>
      </c>
      <c r="O163" s="741"/>
      <c r="U163" s="1078"/>
    </row>
    <row r="164" spans="1:21" ht="15.75" customHeight="1">
      <c r="A164" s="198"/>
      <c r="B164" s="275" t="s">
        <v>508</v>
      </c>
      <c r="C164" s="893"/>
      <c r="D164" s="893">
        <v>624512.47860747785</v>
      </c>
      <c r="E164" s="893">
        <v>617325.10878455651</v>
      </c>
      <c r="H164" s="893">
        <v>751630.70846434741</v>
      </c>
      <c r="I164" s="893">
        <f>H164</f>
        <v>751630.70846434741</v>
      </c>
      <c r="J164" s="274">
        <v>667889.35063271073</v>
      </c>
      <c r="K164" s="274">
        <f>K85/12/K130*1000</f>
        <v>823236.70737642667</v>
      </c>
      <c r="L164" s="274">
        <f>L85/12/L130*1000</f>
        <v>923424.31230074051</v>
      </c>
      <c r="M164" s="274">
        <f>M85/12/M130*1000</f>
        <v>947861.40217583696</v>
      </c>
      <c r="N164" s="274">
        <f>N85/12/N130*1000</f>
        <v>974630.60167778318</v>
      </c>
      <c r="O164" s="741" t="s">
        <v>814</v>
      </c>
      <c r="P164" s="720"/>
      <c r="U164" s="1078"/>
    </row>
    <row r="165" spans="1:21" ht="15.75" customHeight="1">
      <c r="A165" s="198"/>
      <c r="B165" s="275" t="s">
        <v>509</v>
      </c>
      <c r="C165" s="903"/>
      <c r="D165" s="903">
        <v>624512.47860747785</v>
      </c>
      <c r="E165" s="903">
        <v>617325.10878455651</v>
      </c>
      <c r="H165" s="903">
        <v>751630.70846434741</v>
      </c>
      <c r="I165" s="893">
        <f t="shared" ref="I165:I172" si="15">H165</f>
        <v>751630.70846434741</v>
      </c>
      <c r="J165" s="274">
        <v>667889.35063271073</v>
      </c>
      <c r="K165" s="274">
        <f>K90/6/K130*1000</f>
        <v>823236.70737642667</v>
      </c>
      <c r="L165" s="274">
        <f>L90/6/L130*1000</f>
        <v>923424.31230074051</v>
      </c>
      <c r="M165" s="274">
        <f>M90/6/M130*1000</f>
        <v>947861.40217583696</v>
      </c>
      <c r="N165" s="274">
        <f>N90/6/N130*1000</f>
        <v>974630.60167778318</v>
      </c>
      <c r="O165" s="741" t="s">
        <v>814</v>
      </c>
      <c r="U165" s="1078"/>
    </row>
    <row r="166" spans="1:21" ht="15.75" customHeight="1">
      <c r="A166" s="198"/>
      <c r="B166" s="275" t="s">
        <v>510</v>
      </c>
      <c r="C166" s="903"/>
      <c r="D166" s="903">
        <v>624512.47860747785</v>
      </c>
      <c r="E166" s="903">
        <v>617325.10878455651</v>
      </c>
      <c r="H166" s="903">
        <v>751630.70846434741</v>
      </c>
      <c r="I166" s="893">
        <f t="shared" si="15"/>
        <v>751630.70846434741</v>
      </c>
      <c r="J166" s="274">
        <v>667889.35063271073</v>
      </c>
      <c r="K166" s="274">
        <f>K95/6/K130*1000</f>
        <v>823236.70737642667</v>
      </c>
      <c r="L166" s="274">
        <f>L95/6/L130*1000</f>
        <v>923424.31230074051</v>
      </c>
      <c r="M166" s="274">
        <f>M95/6/M130*1000</f>
        <v>947861.40217583696</v>
      </c>
      <c r="N166" s="274">
        <f>N95/6/N130*1000</f>
        <v>974630.60167778318</v>
      </c>
      <c r="O166" s="741" t="s">
        <v>814</v>
      </c>
      <c r="U166" s="1078"/>
    </row>
    <row r="167" spans="1:21" ht="23.25" customHeight="1">
      <c r="A167" s="202"/>
      <c r="B167" s="275" t="s">
        <v>17</v>
      </c>
      <c r="C167" s="893"/>
      <c r="D167" s="893">
        <v>554.10494254898163</v>
      </c>
      <c r="E167" s="893">
        <v>617.0011631540134</v>
      </c>
      <c r="H167" s="893">
        <v>859.46543765081412</v>
      </c>
      <c r="I167" s="893">
        <f t="shared" si="15"/>
        <v>859.46543765081412</v>
      </c>
      <c r="J167" s="311">
        <v>900.69747684150718</v>
      </c>
      <c r="K167" s="311">
        <f>K146/K126*1000</f>
        <v>944.83989332565682</v>
      </c>
      <c r="L167" s="311">
        <f>L146/L125*1000</f>
        <v>992.05453225713836</v>
      </c>
      <c r="M167" s="311">
        <f>M146/M125*1000</f>
        <v>1047.6095860635382</v>
      </c>
      <c r="N167" s="311">
        <f>N146/N125*1000</f>
        <v>1106.2757228830965</v>
      </c>
      <c r="O167" s="741" t="s">
        <v>1221</v>
      </c>
      <c r="U167" s="1078"/>
    </row>
    <row r="168" spans="1:21" ht="16.5" customHeight="1">
      <c r="A168" s="202"/>
      <c r="B168" s="275" t="s">
        <v>509</v>
      </c>
      <c r="C168" s="903"/>
      <c r="D168" s="903">
        <v>543.23042383601125</v>
      </c>
      <c r="E168" s="903">
        <v>564.70703736303028</v>
      </c>
      <c r="H168" s="903">
        <v>827.00791789615096</v>
      </c>
      <c r="I168" s="893">
        <f t="shared" si="15"/>
        <v>827.00791789615096</v>
      </c>
      <c r="J168" s="274">
        <v>892.69749506907192</v>
      </c>
      <c r="K168" s="274">
        <f>K151/K127*1000</f>
        <v>936.45268615416478</v>
      </c>
      <c r="L168" s="274">
        <f>L151/L127*1000</f>
        <v>956.06716401882261</v>
      </c>
      <c r="M168" s="274">
        <f>M151/M127*1000</f>
        <v>1023.6218982357797</v>
      </c>
      <c r="N168" s="274">
        <f>N151/N128*1000</f>
        <v>1062.9778559399886</v>
      </c>
      <c r="O168" s="741" t="s">
        <v>1222</v>
      </c>
      <c r="U168" s="1078"/>
    </row>
    <row r="169" spans="1:21" ht="21" customHeight="1">
      <c r="A169" s="202"/>
      <c r="B169" s="275" t="s">
        <v>510</v>
      </c>
      <c r="C169" s="903"/>
      <c r="D169" s="903">
        <v>564.86762410640404</v>
      </c>
      <c r="E169" s="903">
        <v>670.23353042352812</v>
      </c>
      <c r="H169" s="903">
        <v>892.37352014696421</v>
      </c>
      <c r="I169" s="893">
        <f t="shared" si="15"/>
        <v>892.37352014696421</v>
      </c>
      <c r="J169" s="274">
        <v>908.71728254553284</v>
      </c>
      <c r="K169" s="274">
        <f>K156/K128*1000</f>
        <v>953.22710049714863</v>
      </c>
      <c r="L169" s="274">
        <f>L156/L128*1000</f>
        <v>1006.6078181249889</v>
      </c>
      <c r="M169" s="274">
        <f>M156/M128*1000</f>
        <v>1062.9778559399886</v>
      </c>
      <c r="N169" s="274">
        <f>N156/N128*1000</f>
        <v>1122.5046158726279</v>
      </c>
      <c r="O169" s="741" t="s">
        <v>1223</v>
      </c>
      <c r="U169" s="1078"/>
    </row>
    <row r="170" spans="1:21" ht="15.75" customHeight="1">
      <c r="A170" s="202"/>
      <c r="B170" s="275" t="s">
        <v>18</v>
      </c>
      <c r="C170" s="893"/>
      <c r="D170" s="893">
        <v>1917.6541444184465</v>
      </c>
      <c r="E170" s="893">
        <v>1964.2646752171995</v>
      </c>
      <c r="H170" s="893">
        <v>2501.3420639178421</v>
      </c>
      <c r="I170" s="893">
        <f t="shared" si="15"/>
        <v>2501.3420639178421</v>
      </c>
      <c r="J170" s="311">
        <v>2358.0442947725528</v>
      </c>
      <c r="K170" s="311">
        <f t="shared" ref="K170:N172" si="16">K161/K126*1000</f>
        <v>2740.9965646190681</v>
      </c>
      <c r="L170" s="311">
        <f t="shared" si="16"/>
        <v>2999.1202847364489</v>
      </c>
      <c r="M170" s="311">
        <f t="shared" si="16"/>
        <v>3128.8616253518512</v>
      </c>
      <c r="N170" s="311">
        <f t="shared" si="16"/>
        <v>3246.1907659884873</v>
      </c>
      <c r="O170" s="741" t="s">
        <v>1221</v>
      </c>
      <c r="U170" s="1078"/>
    </row>
    <row r="171" spans="1:21" ht="15.75" customHeight="1">
      <c r="A171" s="202"/>
      <c r="B171" s="275" t="s">
        <v>509</v>
      </c>
      <c r="C171" s="903"/>
      <c r="D171" s="903">
        <v>1913.8640806051651</v>
      </c>
      <c r="E171" s="903">
        <v>1900.0975239121551</v>
      </c>
      <c r="H171" s="903">
        <v>2457.6446240918604</v>
      </c>
      <c r="I171" s="893">
        <f t="shared" si="15"/>
        <v>2457.6446240918604</v>
      </c>
      <c r="J171" s="274">
        <v>2348.2431257464518</v>
      </c>
      <c r="K171" s="274">
        <f t="shared" si="16"/>
        <v>2732.6093574475758</v>
      </c>
      <c r="L171" s="274">
        <f t="shared" si="16"/>
        <v>2976.8182230473872</v>
      </c>
      <c r="M171" s="274">
        <f t="shared" si="16"/>
        <v>3126.642835331515</v>
      </c>
      <c r="N171" s="274">
        <f t="shared" si="16"/>
        <v>3243.3585084061565</v>
      </c>
      <c r="O171" s="741" t="s">
        <v>1222</v>
      </c>
      <c r="U171" s="1078"/>
    </row>
    <row r="172" spans="1:21" ht="15.75" customHeight="1">
      <c r="A172" s="202"/>
      <c r="B172" s="275" t="s">
        <v>510</v>
      </c>
      <c r="C172" s="903"/>
      <c r="D172" s="903">
        <v>1921.4052299589966</v>
      </c>
      <c r="E172" s="903">
        <v>2029.5830893458012</v>
      </c>
      <c r="H172" s="903">
        <v>2545.6460947105024</v>
      </c>
      <c r="I172" s="893">
        <f t="shared" si="15"/>
        <v>2545.6460947105024</v>
      </c>
      <c r="J172" s="274">
        <v>2367.8697510670254</v>
      </c>
      <c r="K172" s="274">
        <f t="shared" si="16"/>
        <v>2749.3837717905599</v>
      </c>
      <c r="L172" s="274">
        <f t="shared" si="16"/>
        <v>3021.3560966114342</v>
      </c>
      <c r="M172" s="274">
        <f t="shared" si="16"/>
        <v>3131.0435358649988</v>
      </c>
      <c r="N172" s="274">
        <f t="shared" si="16"/>
        <v>3248.9759473432741</v>
      </c>
      <c r="O172" s="741" t="s">
        <v>1223</v>
      </c>
      <c r="U172" s="1078"/>
    </row>
    <row r="173" spans="1:21" ht="15.75" customHeight="1">
      <c r="A173" s="202"/>
      <c r="B173" s="200"/>
      <c r="C173" s="312"/>
      <c r="D173" s="312"/>
      <c r="E173" s="902"/>
      <c r="H173" s="902"/>
      <c r="I173" s="902"/>
      <c r="J173" s="312"/>
      <c r="K173" s="312"/>
      <c r="L173" s="312"/>
      <c r="M173" s="312"/>
      <c r="N173" s="312"/>
      <c r="O173" s="741"/>
      <c r="U173" s="1078"/>
    </row>
    <row r="174" spans="1:21" ht="15.75" customHeight="1">
      <c r="A174" s="202"/>
      <c r="B174" s="205" t="s">
        <v>583</v>
      </c>
      <c r="C174" s="255"/>
      <c r="D174" s="255"/>
      <c r="E174" s="904"/>
      <c r="H174" s="904">
        <v>1.2734241446567047</v>
      </c>
      <c r="I174" s="904"/>
      <c r="J174" s="722">
        <v>0.94271164619490599</v>
      </c>
      <c r="K174" s="722">
        <f>K170/E170</f>
        <v>1.3954313790813253</v>
      </c>
      <c r="L174" s="722">
        <f>L170/K170</f>
        <v>1.0941714861847167</v>
      </c>
      <c r="M174" s="722">
        <f>M170/L170</f>
        <v>1.0432597989736192</v>
      </c>
      <c r="N174" s="722">
        <f>N170/M170</f>
        <v>1.0374989867515927</v>
      </c>
      <c r="O174" s="741"/>
      <c r="U174" s="1078"/>
    </row>
    <row r="175" spans="1:21" ht="15.75" customHeight="1">
      <c r="A175" s="202"/>
      <c r="B175" s="205" t="s">
        <v>774</v>
      </c>
      <c r="C175" s="255"/>
      <c r="D175" s="255"/>
      <c r="E175" s="904"/>
      <c r="H175" s="904">
        <v>1.2993353715573146</v>
      </c>
      <c r="I175" s="904"/>
      <c r="J175" s="721">
        <v>0.95775122159698345</v>
      </c>
      <c r="K175" s="721">
        <f>K161/E161</f>
        <v>1.4379109595247173</v>
      </c>
      <c r="L175" s="721">
        <f>L161/K161</f>
        <v>1.0925463302117271</v>
      </c>
      <c r="M175" s="721">
        <f>M161/L161</f>
        <v>1.0361284993494992</v>
      </c>
      <c r="N175" s="721">
        <f>N161/M161</f>
        <v>1.0374989867515927</v>
      </c>
      <c r="O175" s="741"/>
      <c r="U175" s="1078"/>
    </row>
    <row r="176" spans="1:21" ht="15.75" customHeight="1">
      <c r="A176" s="202"/>
      <c r="B176" s="723" t="s">
        <v>775</v>
      </c>
      <c r="C176" s="724"/>
      <c r="D176" s="724"/>
      <c r="E176" s="905"/>
      <c r="H176" s="905">
        <v>1.243472410059151</v>
      </c>
      <c r="I176" s="905"/>
      <c r="J176" s="721">
        <v>0.90177094648322242</v>
      </c>
      <c r="K176" s="725">
        <f>K85/E85</f>
        <v>1.3737736336265631</v>
      </c>
      <c r="L176" s="725">
        <f>L85/K85</f>
        <v>1.1216996327139026</v>
      </c>
      <c r="M176" s="725">
        <f>M85/L85</f>
        <v>1.0264635547814533</v>
      </c>
      <c r="N176" s="725">
        <f>N85/M85</f>
        <v>1.028241681157706</v>
      </c>
      <c r="O176" s="741"/>
      <c r="U176" s="1078"/>
    </row>
    <row r="177" spans="1:21" ht="15.75" customHeight="1">
      <c r="A177" s="202"/>
      <c r="B177" s="723" t="s">
        <v>776</v>
      </c>
      <c r="C177" s="724"/>
      <c r="D177" s="724"/>
      <c r="E177" s="905"/>
      <c r="H177" s="905">
        <v>1.4213159028703157</v>
      </c>
      <c r="I177" s="905"/>
      <c r="J177" s="721">
        <v>1.0646929335202786</v>
      </c>
      <c r="K177" s="725">
        <f>K146/E146</f>
        <v>1.5779591216743225</v>
      </c>
      <c r="L177" s="725">
        <f>L146/K146</f>
        <v>1.0371254074189709</v>
      </c>
      <c r="M177" s="725">
        <f>M146/L146</f>
        <v>1.056</v>
      </c>
      <c r="N177" s="725">
        <f>N146/M146</f>
        <v>1.056</v>
      </c>
      <c r="O177" s="741"/>
      <c r="U177" s="1078"/>
    </row>
    <row r="178" spans="1:21" ht="30.75" customHeight="1">
      <c r="A178" s="501"/>
      <c r="B178" s="502" t="s">
        <v>668</v>
      </c>
      <c r="C178" s="503"/>
      <c r="D178" s="503"/>
      <c r="E178" s="906"/>
      <c r="H178" s="906"/>
      <c r="I178" s="906"/>
      <c r="J178" s="504"/>
      <c r="K178" s="504"/>
      <c r="L178" s="504"/>
      <c r="M178" s="504"/>
      <c r="N178" s="505"/>
      <c r="O178" s="741"/>
      <c r="U178" s="1078"/>
    </row>
    <row r="179" spans="1:21" ht="33.75" customHeight="1">
      <c r="A179" s="499"/>
      <c r="B179" s="500" t="s">
        <v>584</v>
      </c>
      <c r="C179" s="534"/>
      <c r="D179" s="534"/>
      <c r="E179" s="907">
        <f>SUM(E180:E184)</f>
        <v>0</v>
      </c>
      <c r="H179" s="907">
        <v>0</v>
      </c>
      <c r="I179" s="907"/>
      <c r="J179" s="535">
        <v>0</v>
      </c>
      <c r="K179" s="535">
        <f>SUM(K180:K184)</f>
        <v>0</v>
      </c>
      <c r="L179" s="535">
        <f>SUM(L180:L184)</f>
        <v>0</v>
      </c>
      <c r="M179" s="535">
        <f>SUM(M180:M184)</f>
        <v>0</v>
      </c>
      <c r="N179" s="535">
        <f>SUM(N180:N184)</f>
        <v>0</v>
      </c>
      <c r="O179" s="741"/>
      <c r="U179" s="1078"/>
    </row>
    <row r="180" spans="1:21" ht="15.75" customHeight="1">
      <c r="A180" s="202"/>
      <c r="B180" s="4" t="s">
        <v>39</v>
      </c>
      <c r="C180" s="297"/>
      <c r="D180" s="297"/>
      <c r="E180" s="882"/>
      <c r="H180" s="882"/>
      <c r="I180" s="882"/>
      <c r="J180" s="297"/>
      <c r="K180" s="297"/>
      <c r="L180" s="297"/>
      <c r="M180" s="297"/>
      <c r="N180" s="297"/>
      <c r="O180" s="741"/>
      <c r="U180" s="1078"/>
    </row>
    <row r="181" spans="1:21" ht="15.75" customHeight="1">
      <c r="A181" s="202"/>
      <c r="B181" s="199" t="s">
        <v>40</v>
      </c>
      <c r="C181" s="297"/>
      <c r="D181" s="297"/>
      <c r="E181" s="882"/>
      <c r="H181" s="882"/>
      <c r="I181" s="882"/>
      <c r="J181" s="297"/>
      <c r="K181" s="297"/>
      <c r="L181" s="297"/>
      <c r="M181" s="297"/>
      <c r="N181" s="297"/>
      <c r="O181" s="741"/>
      <c r="U181" s="1078"/>
    </row>
    <row r="182" spans="1:21" ht="15.75" customHeight="1">
      <c r="A182" s="202"/>
      <c r="B182" s="199" t="s">
        <v>41</v>
      </c>
      <c r="C182" s="297"/>
      <c r="D182" s="297"/>
      <c r="E182" s="882"/>
      <c r="H182" s="882"/>
      <c r="I182" s="882"/>
      <c r="J182" s="536"/>
      <c r="K182" s="536"/>
      <c r="L182" s="536"/>
      <c r="M182" s="536"/>
      <c r="N182" s="536"/>
      <c r="O182" s="741"/>
      <c r="U182" s="1078"/>
    </row>
    <row r="183" spans="1:21" ht="15.75" customHeight="1">
      <c r="A183" s="202"/>
      <c r="B183" s="199" t="s">
        <v>42</v>
      </c>
      <c r="C183" s="297"/>
      <c r="D183" s="297"/>
      <c r="E183" s="301"/>
      <c r="H183" s="301"/>
      <c r="I183" s="301"/>
      <c r="J183" s="536"/>
      <c r="K183" s="536"/>
      <c r="L183" s="536"/>
      <c r="M183" s="536"/>
      <c r="N183" s="536"/>
      <c r="O183" s="741"/>
      <c r="U183" s="1078"/>
    </row>
    <row r="184" spans="1:21" ht="15.75" customHeight="1">
      <c r="A184" s="202"/>
      <c r="B184" s="199" t="s">
        <v>43</v>
      </c>
      <c r="C184" s="297"/>
      <c r="D184" s="297"/>
      <c r="E184" s="882"/>
      <c r="H184" s="882"/>
      <c r="I184" s="882"/>
      <c r="J184" s="536"/>
      <c r="K184" s="536"/>
      <c r="L184" s="536"/>
      <c r="M184" s="536"/>
      <c r="N184" s="536"/>
      <c r="O184" s="741"/>
      <c r="U184" s="1078"/>
    </row>
    <row r="185" spans="1:21">
      <c r="J185" s="662"/>
      <c r="U185" s="1078"/>
    </row>
    <row r="186" spans="1:21">
      <c r="J186" s="662"/>
      <c r="U186" s="1078"/>
    </row>
    <row r="199" spans="1:14" s="939" customFormat="1">
      <c r="A199" s="662"/>
      <c r="B199" s="662"/>
      <c r="C199" s="662"/>
      <c r="D199" s="662"/>
      <c r="E199" s="908"/>
      <c r="H199" s="908"/>
      <c r="I199" s="908"/>
      <c r="J199" s="1605"/>
      <c r="K199" s="662"/>
      <c r="L199" s="662"/>
      <c r="M199" s="662"/>
      <c r="N199" s="662"/>
    </row>
    <row r="200" spans="1:14" s="939" customFormat="1">
      <c r="A200" s="662"/>
      <c r="B200" s="662"/>
      <c r="C200" s="662"/>
      <c r="D200" s="662"/>
      <c r="E200" s="908"/>
      <c r="H200" s="908"/>
      <c r="I200" s="908"/>
      <c r="J200" s="1605"/>
      <c r="K200" s="662"/>
      <c r="L200" s="662"/>
      <c r="M200" s="662"/>
      <c r="N200" s="662"/>
    </row>
    <row r="201" spans="1:14" s="939" customFormat="1">
      <c r="A201" s="662"/>
      <c r="B201" s="662"/>
      <c r="C201" s="662"/>
      <c r="D201" s="662"/>
      <c r="E201" s="908"/>
      <c r="H201" s="908"/>
      <c r="I201" s="908"/>
      <c r="J201" s="1605"/>
      <c r="K201" s="662"/>
      <c r="L201" s="662"/>
      <c r="M201" s="662"/>
      <c r="N201" s="662"/>
    </row>
  </sheetData>
  <mergeCells count="1">
    <mergeCell ref="A3:A4"/>
  </mergeCells>
  <conditionalFormatting sqref="K73:N73">
    <cfRule type="cellIs" dxfId="14" priority="3" stopIfTrue="1" operator="lessThan">
      <formula>0.12</formula>
    </cfRule>
    <cfRule type="containsText" dxfId="13" priority="4" stopIfTrue="1" operator="containsText" text="хорошо">
      <formula>NOT(ISERROR(SEARCH("хорошо",K73)))</formula>
    </cfRule>
  </conditionalFormatting>
  <conditionalFormatting sqref="J73">
    <cfRule type="cellIs" dxfId="12" priority="1" stopIfTrue="1" operator="lessThan">
      <formula>0.12</formula>
    </cfRule>
    <cfRule type="containsText" dxfId="11" priority="2" stopIfTrue="1" operator="containsText" text="хорошо">
      <formula>NOT(ISERROR(SEARCH("хорошо",J73)))</formula>
    </cfRule>
  </conditionalFormatting>
  <pageMargins left="0.70866141732283472" right="0.43307086614173229" top="0.74803149606299213" bottom="0.74803149606299213" header="0.31496062992125984" footer="0.31496062992125984"/>
  <pageSetup paperSize="9" scale="47" firstPageNumber="9" fitToHeight="0" orientation="portrait" blackAndWhite="1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145"/>
  <sheetViews>
    <sheetView workbookViewId="0"/>
  </sheetViews>
  <sheetFormatPr defaultRowHeight="12.75"/>
  <cols>
    <col min="1" max="1" width="5.85546875" style="866" customWidth="1"/>
    <col min="2" max="2" width="50" style="866" customWidth="1"/>
    <col min="3" max="3" width="10.7109375" style="866" customWidth="1"/>
    <col min="4" max="4" width="11.28515625" style="866" customWidth="1"/>
    <col min="5" max="5" width="9.28515625" style="866" customWidth="1"/>
    <col min="6" max="6" width="8.7109375" style="866" customWidth="1"/>
    <col min="7" max="11" width="9.140625" style="866" customWidth="1"/>
    <col min="12" max="12" width="9.28515625" style="866" customWidth="1"/>
    <col min="13" max="13" width="9" style="866" customWidth="1"/>
    <col min="14" max="14" width="9.7109375" style="866" customWidth="1"/>
    <col min="15" max="15" width="10.140625" style="866" customWidth="1"/>
    <col min="16" max="16" width="10.5703125" style="866" customWidth="1"/>
    <col min="17" max="18" width="9.7109375" style="866" customWidth="1"/>
    <col min="19" max="19" width="11.85546875" style="866" customWidth="1"/>
    <col min="20" max="21" width="9.140625" style="866"/>
    <col min="22" max="22" width="9.140625" style="867"/>
    <col min="23" max="24" width="9.140625" style="866"/>
    <col min="25" max="25" width="8.140625" style="866" customWidth="1"/>
    <col min="26" max="29" width="9.140625" style="866"/>
    <col min="30" max="30" width="28.5703125" style="866" bestFit="1" customWidth="1"/>
    <col min="31" max="256" width="9.140625" style="866"/>
    <col min="257" max="257" width="5.85546875" style="866" customWidth="1"/>
    <col min="258" max="258" width="50" style="866" customWidth="1"/>
    <col min="259" max="259" width="10.7109375" style="866" customWidth="1"/>
    <col min="260" max="260" width="7.140625" style="866" customWidth="1"/>
    <col min="261" max="261" width="9.28515625" style="866" customWidth="1"/>
    <col min="262" max="267" width="9.140625" style="866" customWidth="1"/>
    <col min="268" max="268" width="7.140625" style="866" customWidth="1"/>
    <col min="269" max="269" width="6.7109375" style="866" customWidth="1"/>
    <col min="270" max="270" width="8" style="866" customWidth="1"/>
    <col min="271" max="271" width="8.42578125" style="866" customWidth="1"/>
    <col min="272" max="272" width="10.5703125" style="866" customWidth="1"/>
    <col min="273" max="273" width="7.140625" style="866" customWidth="1"/>
    <col min="274" max="274" width="8.85546875" style="866" customWidth="1"/>
    <col min="275" max="275" width="7.140625" style="866" customWidth="1"/>
    <col min="276" max="280" width="9.140625" style="866"/>
    <col min="281" max="281" width="8.140625" style="866" customWidth="1"/>
    <col min="282" max="285" width="9.140625" style="866"/>
    <col min="286" max="286" width="28.5703125" style="866" bestFit="1" customWidth="1"/>
    <col min="287" max="512" width="9.140625" style="866"/>
    <col min="513" max="513" width="5.85546875" style="866" customWidth="1"/>
    <col min="514" max="514" width="50" style="866" customWidth="1"/>
    <col min="515" max="515" width="10.7109375" style="866" customWidth="1"/>
    <col min="516" max="516" width="7.140625" style="866" customWidth="1"/>
    <col min="517" max="517" width="9.28515625" style="866" customWidth="1"/>
    <col min="518" max="523" width="9.140625" style="866" customWidth="1"/>
    <col min="524" max="524" width="7.140625" style="866" customWidth="1"/>
    <col min="525" max="525" width="6.7109375" style="866" customWidth="1"/>
    <col min="526" max="526" width="8" style="866" customWidth="1"/>
    <col min="527" max="527" width="8.42578125" style="866" customWidth="1"/>
    <col min="528" max="528" width="10.5703125" style="866" customWidth="1"/>
    <col min="529" max="529" width="7.140625" style="866" customWidth="1"/>
    <col min="530" max="530" width="8.85546875" style="866" customWidth="1"/>
    <col min="531" max="531" width="7.140625" style="866" customWidth="1"/>
    <col min="532" max="536" width="9.140625" style="866"/>
    <col min="537" max="537" width="8.140625" style="866" customWidth="1"/>
    <col min="538" max="541" width="9.140625" style="866"/>
    <col min="542" max="542" width="28.5703125" style="866" bestFit="1" customWidth="1"/>
    <col min="543" max="768" width="9.140625" style="866"/>
    <col min="769" max="769" width="5.85546875" style="866" customWidth="1"/>
    <col min="770" max="770" width="50" style="866" customWidth="1"/>
    <col min="771" max="771" width="10.7109375" style="866" customWidth="1"/>
    <col min="772" max="772" width="7.140625" style="866" customWidth="1"/>
    <col min="773" max="773" width="9.28515625" style="866" customWidth="1"/>
    <col min="774" max="779" width="9.140625" style="866" customWidth="1"/>
    <col min="780" max="780" width="7.140625" style="866" customWidth="1"/>
    <col min="781" max="781" width="6.7109375" style="866" customWidth="1"/>
    <col min="782" max="782" width="8" style="866" customWidth="1"/>
    <col min="783" max="783" width="8.42578125" style="866" customWidth="1"/>
    <col min="784" max="784" width="10.5703125" style="866" customWidth="1"/>
    <col min="785" max="785" width="7.140625" style="866" customWidth="1"/>
    <col min="786" max="786" width="8.85546875" style="866" customWidth="1"/>
    <col min="787" max="787" width="7.140625" style="866" customWidth="1"/>
    <col min="788" max="792" width="9.140625" style="866"/>
    <col min="793" max="793" width="8.140625" style="866" customWidth="1"/>
    <col min="794" max="797" width="9.140625" style="866"/>
    <col min="798" max="798" width="28.5703125" style="866" bestFit="1" customWidth="1"/>
    <col min="799" max="1024" width="9.140625" style="866"/>
    <col min="1025" max="1025" width="5.85546875" style="866" customWidth="1"/>
    <col min="1026" max="1026" width="50" style="866" customWidth="1"/>
    <col min="1027" max="1027" width="10.7109375" style="866" customWidth="1"/>
    <col min="1028" max="1028" width="7.140625" style="866" customWidth="1"/>
    <col min="1029" max="1029" width="9.28515625" style="866" customWidth="1"/>
    <col min="1030" max="1035" width="9.140625" style="866" customWidth="1"/>
    <col min="1036" max="1036" width="7.140625" style="866" customWidth="1"/>
    <col min="1037" max="1037" width="6.7109375" style="866" customWidth="1"/>
    <col min="1038" max="1038" width="8" style="866" customWidth="1"/>
    <col min="1039" max="1039" width="8.42578125" style="866" customWidth="1"/>
    <col min="1040" max="1040" width="10.5703125" style="866" customWidth="1"/>
    <col min="1041" max="1041" width="7.140625" style="866" customWidth="1"/>
    <col min="1042" max="1042" width="8.85546875" style="866" customWidth="1"/>
    <col min="1043" max="1043" width="7.140625" style="866" customWidth="1"/>
    <col min="1044" max="1048" width="9.140625" style="866"/>
    <col min="1049" max="1049" width="8.140625" style="866" customWidth="1"/>
    <col min="1050" max="1053" width="9.140625" style="866"/>
    <col min="1054" max="1054" width="28.5703125" style="866" bestFit="1" customWidth="1"/>
    <col min="1055" max="1280" width="9.140625" style="866"/>
    <col min="1281" max="1281" width="5.85546875" style="866" customWidth="1"/>
    <col min="1282" max="1282" width="50" style="866" customWidth="1"/>
    <col min="1283" max="1283" width="10.7109375" style="866" customWidth="1"/>
    <col min="1284" max="1284" width="7.140625" style="866" customWidth="1"/>
    <col min="1285" max="1285" width="9.28515625" style="866" customWidth="1"/>
    <col min="1286" max="1291" width="9.140625" style="866" customWidth="1"/>
    <col min="1292" max="1292" width="7.140625" style="866" customWidth="1"/>
    <col min="1293" max="1293" width="6.7109375" style="866" customWidth="1"/>
    <col min="1294" max="1294" width="8" style="866" customWidth="1"/>
    <col min="1295" max="1295" width="8.42578125" style="866" customWidth="1"/>
    <col min="1296" max="1296" width="10.5703125" style="866" customWidth="1"/>
    <col min="1297" max="1297" width="7.140625" style="866" customWidth="1"/>
    <col min="1298" max="1298" width="8.85546875" style="866" customWidth="1"/>
    <col min="1299" max="1299" width="7.140625" style="866" customWidth="1"/>
    <col min="1300" max="1304" width="9.140625" style="866"/>
    <col min="1305" max="1305" width="8.140625" style="866" customWidth="1"/>
    <col min="1306" max="1309" width="9.140625" style="866"/>
    <col min="1310" max="1310" width="28.5703125" style="866" bestFit="1" customWidth="1"/>
    <col min="1311" max="1536" width="9.140625" style="866"/>
    <col min="1537" max="1537" width="5.85546875" style="866" customWidth="1"/>
    <col min="1538" max="1538" width="50" style="866" customWidth="1"/>
    <col min="1539" max="1539" width="10.7109375" style="866" customWidth="1"/>
    <col min="1540" max="1540" width="7.140625" style="866" customWidth="1"/>
    <col min="1541" max="1541" width="9.28515625" style="866" customWidth="1"/>
    <col min="1542" max="1547" width="9.140625" style="866" customWidth="1"/>
    <col min="1548" max="1548" width="7.140625" style="866" customWidth="1"/>
    <col min="1549" max="1549" width="6.7109375" style="866" customWidth="1"/>
    <col min="1550" max="1550" width="8" style="866" customWidth="1"/>
    <col min="1551" max="1551" width="8.42578125" style="866" customWidth="1"/>
    <col min="1552" max="1552" width="10.5703125" style="866" customWidth="1"/>
    <col min="1553" max="1553" width="7.140625" style="866" customWidth="1"/>
    <col min="1554" max="1554" width="8.85546875" style="866" customWidth="1"/>
    <col min="1555" max="1555" width="7.140625" style="866" customWidth="1"/>
    <col min="1556" max="1560" width="9.140625" style="866"/>
    <col min="1561" max="1561" width="8.140625" style="866" customWidth="1"/>
    <col min="1562" max="1565" width="9.140625" style="866"/>
    <col min="1566" max="1566" width="28.5703125" style="866" bestFit="1" customWidth="1"/>
    <col min="1567" max="1792" width="9.140625" style="866"/>
    <col min="1793" max="1793" width="5.85546875" style="866" customWidth="1"/>
    <col min="1794" max="1794" width="50" style="866" customWidth="1"/>
    <col min="1795" max="1795" width="10.7109375" style="866" customWidth="1"/>
    <col min="1796" max="1796" width="7.140625" style="866" customWidth="1"/>
    <col min="1797" max="1797" width="9.28515625" style="866" customWidth="1"/>
    <col min="1798" max="1803" width="9.140625" style="866" customWidth="1"/>
    <col min="1804" max="1804" width="7.140625" style="866" customWidth="1"/>
    <col min="1805" max="1805" width="6.7109375" style="866" customWidth="1"/>
    <col min="1806" max="1806" width="8" style="866" customWidth="1"/>
    <col min="1807" max="1807" width="8.42578125" style="866" customWidth="1"/>
    <col min="1808" max="1808" width="10.5703125" style="866" customWidth="1"/>
    <col min="1809" max="1809" width="7.140625" style="866" customWidth="1"/>
    <col min="1810" max="1810" width="8.85546875" style="866" customWidth="1"/>
    <col min="1811" max="1811" width="7.140625" style="866" customWidth="1"/>
    <col min="1812" max="1816" width="9.140625" style="866"/>
    <col min="1817" max="1817" width="8.140625" style="866" customWidth="1"/>
    <col min="1818" max="1821" width="9.140625" style="866"/>
    <col min="1822" max="1822" width="28.5703125" style="866" bestFit="1" customWidth="1"/>
    <col min="1823" max="2048" width="9.140625" style="866"/>
    <col min="2049" max="2049" width="5.85546875" style="866" customWidth="1"/>
    <col min="2050" max="2050" width="50" style="866" customWidth="1"/>
    <col min="2051" max="2051" width="10.7109375" style="866" customWidth="1"/>
    <col min="2052" max="2052" width="7.140625" style="866" customWidth="1"/>
    <col min="2053" max="2053" width="9.28515625" style="866" customWidth="1"/>
    <col min="2054" max="2059" width="9.140625" style="866" customWidth="1"/>
    <col min="2060" max="2060" width="7.140625" style="866" customWidth="1"/>
    <col min="2061" max="2061" width="6.7109375" style="866" customWidth="1"/>
    <col min="2062" max="2062" width="8" style="866" customWidth="1"/>
    <col min="2063" max="2063" width="8.42578125" style="866" customWidth="1"/>
    <col min="2064" max="2064" width="10.5703125" style="866" customWidth="1"/>
    <col min="2065" max="2065" width="7.140625" style="866" customWidth="1"/>
    <col min="2066" max="2066" width="8.85546875" style="866" customWidth="1"/>
    <col min="2067" max="2067" width="7.140625" style="866" customWidth="1"/>
    <col min="2068" max="2072" width="9.140625" style="866"/>
    <col min="2073" max="2073" width="8.140625" style="866" customWidth="1"/>
    <col min="2074" max="2077" width="9.140625" style="866"/>
    <col min="2078" max="2078" width="28.5703125" style="866" bestFit="1" customWidth="1"/>
    <col min="2079" max="2304" width="9.140625" style="866"/>
    <col min="2305" max="2305" width="5.85546875" style="866" customWidth="1"/>
    <col min="2306" max="2306" width="50" style="866" customWidth="1"/>
    <col min="2307" max="2307" width="10.7109375" style="866" customWidth="1"/>
    <col min="2308" max="2308" width="7.140625" style="866" customWidth="1"/>
    <col min="2309" max="2309" width="9.28515625" style="866" customWidth="1"/>
    <col min="2310" max="2315" width="9.140625" style="866" customWidth="1"/>
    <col min="2316" max="2316" width="7.140625" style="866" customWidth="1"/>
    <col min="2317" max="2317" width="6.7109375" style="866" customWidth="1"/>
    <col min="2318" max="2318" width="8" style="866" customWidth="1"/>
    <col min="2319" max="2319" width="8.42578125" style="866" customWidth="1"/>
    <col min="2320" max="2320" width="10.5703125" style="866" customWidth="1"/>
    <col min="2321" max="2321" width="7.140625" style="866" customWidth="1"/>
    <col min="2322" max="2322" width="8.85546875" style="866" customWidth="1"/>
    <col min="2323" max="2323" width="7.140625" style="866" customWidth="1"/>
    <col min="2324" max="2328" width="9.140625" style="866"/>
    <col min="2329" max="2329" width="8.140625" style="866" customWidth="1"/>
    <col min="2330" max="2333" width="9.140625" style="866"/>
    <col min="2334" max="2334" width="28.5703125" style="866" bestFit="1" customWidth="1"/>
    <col min="2335" max="2560" width="9.140625" style="866"/>
    <col min="2561" max="2561" width="5.85546875" style="866" customWidth="1"/>
    <col min="2562" max="2562" width="50" style="866" customWidth="1"/>
    <col min="2563" max="2563" width="10.7109375" style="866" customWidth="1"/>
    <col min="2564" max="2564" width="7.140625" style="866" customWidth="1"/>
    <col min="2565" max="2565" width="9.28515625" style="866" customWidth="1"/>
    <col min="2566" max="2571" width="9.140625" style="866" customWidth="1"/>
    <col min="2572" max="2572" width="7.140625" style="866" customWidth="1"/>
    <col min="2573" max="2573" width="6.7109375" style="866" customWidth="1"/>
    <col min="2574" max="2574" width="8" style="866" customWidth="1"/>
    <col min="2575" max="2575" width="8.42578125" style="866" customWidth="1"/>
    <col min="2576" max="2576" width="10.5703125" style="866" customWidth="1"/>
    <col min="2577" max="2577" width="7.140625" style="866" customWidth="1"/>
    <col min="2578" max="2578" width="8.85546875" style="866" customWidth="1"/>
    <col min="2579" max="2579" width="7.140625" style="866" customWidth="1"/>
    <col min="2580" max="2584" width="9.140625" style="866"/>
    <col min="2585" max="2585" width="8.140625" style="866" customWidth="1"/>
    <col min="2586" max="2589" width="9.140625" style="866"/>
    <col min="2590" max="2590" width="28.5703125" style="866" bestFit="1" customWidth="1"/>
    <col min="2591" max="2816" width="9.140625" style="866"/>
    <col min="2817" max="2817" width="5.85546875" style="866" customWidth="1"/>
    <col min="2818" max="2818" width="50" style="866" customWidth="1"/>
    <col min="2819" max="2819" width="10.7109375" style="866" customWidth="1"/>
    <col min="2820" max="2820" width="7.140625" style="866" customWidth="1"/>
    <col min="2821" max="2821" width="9.28515625" style="866" customWidth="1"/>
    <col min="2822" max="2827" width="9.140625" style="866" customWidth="1"/>
    <col min="2828" max="2828" width="7.140625" style="866" customWidth="1"/>
    <col min="2829" max="2829" width="6.7109375" style="866" customWidth="1"/>
    <col min="2830" max="2830" width="8" style="866" customWidth="1"/>
    <col min="2831" max="2831" width="8.42578125" style="866" customWidth="1"/>
    <col min="2832" max="2832" width="10.5703125" style="866" customWidth="1"/>
    <col min="2833" max="2833" width="7.140625" style="866" customWidth="1"/>
    <col min="2834" max="2834" width="8.85546875" style="866" customWidth="1"/>
    <col min="2835" max="2835" width="7.140625" style="866" customWidth="1"/>
    <col min="2836" max="2840" width="9.140625" style="866"/>
    <col min="2841" max="2841" width="8.140625" style="866" customWidth="1"/>
    <col min="2842" max="2845" width="9.140625" style="866"/>
    <col min="2846" max="2846" width="28.5703125" style="866" bestFit="1" customWidth="1"/>
    <col min="2847" max="3072" width="9.140625" style="866"/>
    <col min="3073" max="3073" width="5.85546875" style="866" customWidth="1"/>
    <col min="3074" max="3074" width="50" style="866" customWidth="1"/>
    <col min="3075" max="3075" width="10.7109375" style="866" customWidth="1"/>
    <col min="3076" max="3076" width="7.140625" style="866" customWidth="1"/>
    <col min="3077" max="3077" width="9.28515625" style="866" customWidth="1"/>
    <col min="3078" max="3083" width="9.140625" style="866" customWidth="1"/>
    <col min="3084" max="3084" width="7.140625" style="866" customWidth="1"/>
    <col min="3085" max="3085" width="6.7109375" style="866" customWidth="1"/>
    <col min="3086" max="3086" width="8" style="866" customWidth="1"/>
    <col min="3087" max="3087" width="8.42578125" style="866" customWidth="1"/>
    <col min="3088" max="3088" width="10.5703125" style="866" customWidth="1"/>
    <col min="3089" max="3089" width="7.140625" style="866" customWidth="1"/>
    <col min="3090" max="3090" width="8.85546875" style="866" customWidth="1"/>
    <col min="3091" max="3091" width="7.140625" style="866" customWidth="1"/>
    <col min="3092" max="3096" width="9.140625" style="866"/>
    <col min="3097" max="3097" width="8.140625" style="866" customWidth="1"/>
    <col min="3098" max="3101" width="9.140625" style="866"/>
    <col min="3102" max="3102" width="28.5703125" style="866" bestFit="1" customWidth="1"/>
    <col min="3103" max="3328" width="9.140625" style="866"/>
    <col min="3329" max="3329" width="5.85546875" style="866" customWidth="1"/>
    <col min="3330" max="3330" width="50" style="866" customWidth="1"/>
    <col min="3331" max="3331" width="10.7109375" style="866" customWidth="1"/>
    <col min="3332" max="3332" width="7.140625" style="866" customWidth="1"/>
    <col min="3333" max="3333" width="9.28515625" style="866" customWidth="1"/>
    <col min="3334" max="3339" width="9.140625" style="866" customWidth="1"/>
    <col min="3340" max="3340" width="7.140625" style="866" customWidth="1"/>
    <col min="3341" max="3341" width="6.7109375" style="866" customWidth="1"/>
    <col min="3342" max="3342" width="8" style="866" customWidth="1"/>
    <col min="3343" max="3343" width="8.42578125" style="866" customWidth="1"/>
    <col min="3344" max="3344" width="10.5703125" style="866" customWidth="1"/>
    <col min="3345" max="3345" width="7.140625" style="866" customWidth="1"/>
    <col min="3346" max="3346" width="8.85546875" style="866" customWidth="1"/>
    <col min="3347" max="3347" width="7.140625" style="866" customWidth="1"/>
    <col min="3348" max="3352" width="9.140625" style="866"/>
    <col min="3353" max="3353" width="8.140625" style="866" customWidth="1"/>
    <col min="3354" max="3357" width="9.140625" style="866"/>
    <col min="3358" max="3358" width="28.5703125" style="866" bestFit="1" customWidth="1"/>
    <col min="3359" max="3584" width="9.140625" style="866"/>
    <col min="3585" max="3585" width="5.85546875" style="866" customWidth="1"/>
    <col min="3586" max="3586" width="50" style="866" customWidth="1"/>
    <col min="3587" max="3587" width="10.7109375" style="866" customWidth="1"/>
    <col min="3588" max="3588" width="7.140625" style="866" customWidth="1"/>
    <col min="3589" max="3589" width="9.28515625" style="866" customWidth="1"/>
    <col min="3590" max="3595" width="9.140625" style="866" customWidth="1"/>
    <col min="3596" max="3596" width="7.140625" style="866" customWidth="1"/>
    <col min="3597" max="3597" width="6.7109375" style="866" customWidth="1"/>
    <col min="3598" max="3598" width="8" style="866" customWidth="1"/>
    <col min="3599" max="3599" width="8.42578125" style="866" customWidth="1"/>
    <col min="3600" max="3600" width="10.5703125" style="866" customWidth="1"/>
    <col min="3601" max="3601" width="7.140625" style="866" customWidth="1"/>
    <col min="3602" max="3602" width="8.85546875" style="866" customWidth="1"/>
    <col min="3603" max="3603" width="7.140625" style="866" customWidth="1"/>
    <col min="3604" max="3608" width="9.140625" style="866"/>
    <col min="3609" max="3609" width="8.140625" style="866" customWidth="1"/>
    <col min="3610" max="3613" width="9.140625" style="866"/>
    <col min="3614" max="3614" width="28.5703125" style="866" bestFit="1" customWidth="1"/>
    <col min="3615" max="3840" width="9.140625" style="866"/>
    <col min="3841" max="3841" width="5.85546875" style="866" customWidth="1"/>
    <col min="3842" max="3842" width="50" style="866" customWidth="1"/>
    <col min="3843" max="3843" width="10.7109375" style="866" customWidth="1"/>
    <col min="3844" max="3844" width="7.140625" style="866" customWidth="1"/>
    <col min="3845" max="3845" width="9.28515625" style="866" customWidth="1"/>
    <col min="3846" max="3851" width="9.140625" style="866" customWidth="1"/>
    <col min="3852" max="3852" width="7.140625" style="866" customWidth="1"/>
    <col min="3853" max="3853" width="6.7109375" style="866" customWidth="1"/>
    <col min="3854" max="3854" width="8" style="866" customWidth="1"/>
    <col min="3855" max="3855" width="8.42578125" style="866" customWidth="1"/>
    <col min="3856" max="3856" width="10.5703125" style="866" customWidth="1"/>
    <col min="3857" max="3857" width="7.140625" style="866" customWidth="1"/>
    <col min="3858" max="3858" width="8.85546875" style="866" customWidth="1"/>
    <col min="3859" max="3859" width="7.140625" style="866" customWidth="1"/>
    <col min="3860" max="3864" width="9.140625" style="866"/>
    <col min="3865" max="3865" width="8.140625" style="866" customWidth="1"/>
    <col min="3866" max="3869" width="9.140625" style="866"/>
    <col min="3870" max="3870" width="28.5703125" style="866" bestFit="1" customWidth="1"/>
    <col min="3871" max="4096" width="9.140625" style="866"/>
    <col min="4097" max="4097" width="5.85546875" style="866" customWidth="1"/>
    <col min="4098" max="4098" width="50" style="866" customWidth="1"/>
    <col min="4099" max="4099" width="10.7109375" style="866" customWidth="1"/>
    <col min="4100" max="4100" width="7.140625" style="866" customWidth="1"/>
    <col min="4101" max="4101" width="9.28515625" style="866" customWidth="1"/>
    <col min="4102" max="4107" width="9.140625" style="866" customWidth="1"/>
    <col min="4108" max="4108" width="7.140625" style="866" customWidth="1"/>
    <col min="4109" max="4109" width="6.7109375" style="866" customWidth="1"/>
    <col min="4110" max="4110" width="8" style="866" customWidth="1"/>
    <col min="4111" max="4111" width="8.42578125" style="866" customWidth="1"/>
    <col min="4112" max="4112" width="10.5703125" style="866" customWidth="1"/>
    <col min="4113" max="4113" width="7.140625" style="866" customWidth="1"/>
    <col min="4114" max="4114" width="8.85546875" style="866" customWidth="1"/>
    <col min="4115" max="4115" width="7.140625" style="866" customWidth="1"/>
    <col min="4116" max="4120" width="9.140625" style="866"/>
    <col min="4121" max="4121" width="8.140625" style="866" customWidth="1"/>
    <col min="4122" max="4125" width="9.140625" style="866"/>
    <col min="4126" max="4126" width="28.5703125" style="866" bestFit="1" customWidth="1"/>
    <col min="4127" max="4352" width="9.140625" style="866"/>
    <col min="4353" max="4353" width="5.85546875" style="866" customWidth="1"/>
    <col min="4354" max="4354" width="50" style="866" customWidth="1"/>
    <col min="4355" max="4355" width="10.7109375" style="866" customWidth="1"/>
    <col min="4356" max="4356" width="7.140625" style="866" customWidth="1"/>
    <col min="4357" max="4357" width="9.28515625" style="866" customWidth="1"/>
    <col min="4358" max="4363" width="9.140625" style="866" customWidth="1"/>
    <col min="4364" max="4364" width="7.140625" style="866" customWidth="1"/>
    <col min="4365" max="4365" width="6.7109375" style="866" customWidth="1"/>
    <col min="4366" max="4366" width="8" style="866" customWidth="1"/>
    <col min="4367" max="4367" width="8.42578125" style="866" customWidth="1"/>
    <col min="4368" max="4368" width="10.5703125" style="866" customWidth="1"/>
    <col min="4369" max="4369" width="7.140625" style="866" customWidth="1"/>
    <col min="4370" max="4370" width="8.85546875" style="866" customWidth="1"/>
    <col min="4371" max="4371" width="7.140625" style="866" customWidth="1"/>
    <col min="4372" max="4376" width="9.140625" style="866"/>
    <col min="4377" max="4377" width="8.140625" style="866" customWidth="1"/>
    <col min="4378" max="4381" width="9.140625" style="866"/>
    <col min="4382" max="4382" width="28.5703125" style="866" bestFit="1" customWidth="1"/>
    <col min="4383" max="4608" width="9.140625" style="866"/>
    <col min="4609" max="4609" width="5.85546875" style="866" customWidth="1"/>
    <col min="4610" max="4610" width="50" style="866" customWidth="1"/>
    <col min="4611" max="4611" width="10.7109375" style="866" customWidth="1"/>
    <col min="4612" max="4612" width="7.140625" style="866" customWidth="1"/>
    <col min="4613" max="4613" width="9.28515625" style="866" customWidth="1"/>
    <col min="4614" max="4619" width="9.140625" style="866" customWidth="1"/>
    <col min="4620" max="4620" width="7.140625" style="866" customWidth="1"/>
    <col min="4621" max="4621" width="6.7109375" style="866" customWidth="1"/>
    <col min="4622" max="4622" width="8" style="866" customWidth="1"/>
    <col min="4623" max="4623" width="8.42578125" style="866" customWidth="1"/>
    <col min="4624" max="4624" width="10.5703125" style="866" customWidth="1"/>
    <col min="4625" max="4625" width="7.140625" style="866" customWidth="1"/>
    <col min="4626" max="4626" width="8.85546875" style="866" customWidth="1"/>
    <col min="4627" max="4627" width="7.140625" style="866" customWidth="1"/>
    <col min="4628" max="4632" width="9.140625" style="866"/>
    <col min="4633" max="4633" width="8.140625" style="866" customWidth="1"/>
    <col min="4634" max="4637" width="9.140625" style="866"/>
    <col min="4638" max="4638" width="28.5703125" style="866" bestFit="1" customWidth="1"/>
    <col min="4639" max="4864" width="9.140625" style="866"/>
    <col min="4865" max="4865" width="5.85546875" style="866" customWidth="1"/>
    <col min="4866" max="4866" width="50" style="866" customWidth="1"/>
    <col min="4867" max="4867" width="10.7109375" style="866" customWidth="1"/>
    <col min="4868" max="4868" width="7.140625" style="866" customWidth="1"/>
    <col min="4869" max="4869" width="9.28515625" style="866" customWidth="1"/>
    <col min="4870" max="4875" width="9.140625" style="866" customWidth="1"/>
    <col min="4876" max="4876" width="7.140625" style="866" customWidth="1"/>
    <col min="4877" max="4877" width="6.7109375" style="866" customWidth="1"/>
    <col min="4878" max="4878" width="8" style="866" customWidth="1"/>
    <col min="4879" max="4879" width="8.42578125" style="866" customWidth="1"/>
    <col min="4880" max="4880" width="10.5703125" style="866" customWidth="1"/>
    <col min="4881" max="4881" width="7.140625" style="866" customWidth="1"/>
    <col min="4882" max="4882" width="8.85546875" style="866" customWidth="1"/>
    <col min="4883" max="4883" width="7.140625" style="866" customWidth="1"/>
    <col min="4884" max="4888" width="9.140625" style="866"/>
    <col min="4889" max="4889" width="8.140625" style="866" customWidth="1"/>
    <col min="4890" max="4893" width="9.140625" style="866"/>
    <col min="4894" max="4894" width="28.5703125" style="866" bestFit="1" customWidth="1"/>
    <col min="4895" max="5120" width="9.140625" style="866"/>
    <col min="5121" max="5121" width="5.85546875" style="866" customWidth="1"/>
    <col min="5122" max="5122" width="50" style="866" customWidth="1"/>
    <col min="5123" max="5123" width="10.7109375" style="866" customWidth="1"/>
    <col min="5124" max="5124" width="7.140625" style="866" customWidth="1"/>
    <col min="5125" max="5125" width="9.28515625" style="866" customWidth="1"/>
    <col min="5126" max="5131" width="9.140625" style="866" customWidth="1"/>
    <col min="5132" max="5132" width="7.140625" style="866" customWidth="1"/>
    <col min="5133" max="5133" width="6.7109375" style="866" customWidth="1"/>
    <col min="5134" max="5134" width="8" style="866" customWidth="1"/>
    <col min="5135" max="5135" width="8.42578125" style="866" customWidth="1"/>
    <col min="5136" max="5136" width="10.5703125" style="866" customWidth="1"/>
    <col min="5137" max="5137" width="7.140625" style="866" customWidth="1"/>
    <col min="5138" max="5138" width="8.85546875" style="866" customWidth="1"/>
    <col min="5139" max="5139" width="7.140625" style="866" customWidth="1"/>
    <col min="5140" max="5144" width="9.140625" style="866"/>
    <col min="5145" max="5145" width="8.140625" style="866" customWidth="1"/>
    <col min="5146" max="5149" width="9.140625" style="866"/>
    <col min="5150" max="5150" width="28.5703125" style="866" bestFit="1" customWidth="1"/>
    <col min="5151" max="5376" width="9.140625" style="866"/>
    <col min="5377" max="5377" width="5.85546875" style="866" customWidth="1"/>
    <col min="5378" max="5378" width="50" style="866" customWidth="1"/>
    <col min="5379" max="5379" width="10.7109375" style="866" customWidth="1"/>
    <col min="5380" max="5380" width="7.140625" style="866" customWidth="1"/>
    <col min="5381" max="5381" width="9.28515625" style="866" customWidth="1"/>
    <col min="5382" max="5387" width="9.140625" style="866" customWidth="1"/>
    <col min="5388" max="5388" width="7.140625" style="866" customWidth="1"/>
    <col min="5389" max="5389" width="6.7109375" style="866" customWidth="1"/>
    <col min="5390" max="5390" width="8" style="866" customWidth="1"/>
    <col min="5391" max="5391" width="8.42578125" style="866" customWidth="1"/>
    <col min="5392" max="5392" width="10.5703125" style="866" customWidth="1"/>
    <col min="5393" max="5393" width="7.140625" style="866" customWidth="1"/>
    <col min="5394" max="5394" width="8.85546875" style="866" customWidth="1"/>
    <col min="5395" max="5395" width="7.140625" style="866" customWidth="1"/>
    <col min="5396" max="5400" width="9.140625" style="866"/>
    <col min="5401" max="5401" width="8.140625" style="866" customWidth="1"/>
    <col min="5402" max="5405" width="9.140625" style="866"/>
    <col min="5406" max="5406" width="28.5703125" style="866" bestFit="1" customWidth="1"/>
    <col min="5407" max="5632" width="9.140625" style="866"/>
    <col min="5633" max="5633" width="5.85546875" style="866" customWidth="1"/>
    <col min="5634" max="5634" width="50" style="866" customWidth="1"/>
    <col min="5635" max="5635" width="10.7109375" style="866" customWidth="1"/>
    <col min="5636" max="5636" width="7.140625" style="866" customWidth="1"/>
    <col min="5637" max="5637" width="9.28515625" style="866" customWidth="1"/>
    <col min="5638" max="5643" width="9.140625" style="866" customWidth="1"/>
    <col min="5644" max="5644" width="7.140625" style="866" customWidth="1"/>
    <col min="5645" max="5645" width="6.7109375" style="866" customWidth="1"/>
    <col min="5646" max="5646" width="8" style="866" customWidth="1"/>
    <col min="5647" max="5647" width="8.42578125" style="866" customWidth="1"/>
    <col min="5648" max="5648" width="10.5703125" style="866" customWidth="1"/>
    <col min="5649" max="5649" width="7.140625" style="866" customWidth="1"/>
    <col min="5650" max="5650" width="8.85546875" style="866" customWidth="1"/>
    <col min="5651" max="5651" width="7.140625" style="866" customWidth="1"/>
    <col min="5652" max="5656" width="9.140625" style="866"/>
    <col min="5657" max="5657" width="8.140625" style="866" customWidth="1"/>
    <col min="5658" max="5661" width="9.140625" style="866"/>
    <col min="5662" max="5662" width="28.5703125" style="866" bestFit="1" customWidth="1"/>
    <col min="5663" max="5888" width="9.140625" style="866"/>
    <col min="5889" max="5889" width="5.85546875" style="866" customWidth="1"/>
    <col min="5890" max="5890" width="50" style="866" customWidth="1"/>
    <col min="5891" max="5891" width="10.7109375" style="866" customWidth="1"/>
    <col min="5892" max="5892" width="7.140625" style="866" customWidth="1"/>
    <col min="5893" max="5893" width="9.28515625" style="866" customWidth="1"/>
    <col min="5894" max="5899" width="9.140625" style="866" customWidth="1"/>
    <col min="5900" max="5900" width="7.140625" style="866" customWidth="1"/>
    <col min="5901" max="5901" width="6.7109375" style="866" customWidth="1"/>
    <col min="5902" max="5902" width="8" style="866" customWidth="1"/>
    <col min="5903" max="5903" width="8.42578125" style="866" customWidth="1"/>
    <col min="5904" max="5904" width="10.5703125" style="866" customWidth="1"/>
    <col min="5905" max="5905" width="7.140625" style="866" customWidth="1"/>
    <col min="5906" max="5906" width="8.85546875" style="866" customWidth="1"/>
    <col min="5907" max="5907" width="7.140625" style="866" customWidth="1"/>
    <col min="5908" max="5912" width="9.140625" style="866"/>
    <col min="5913" max="5913" width="8.140625" style="866" customWidth="1"/>
    <col min="5914" max="5917" width="9.140625" style="866"/>
    <col min="5918" max="5918" width="28.5703125" style="866" bestFit="1" customWidth="1"/>
    <col min="5919" max="6144" width="9.140625" style="866"/>
    <col min="6145" max="6145" width="5.85546875" style="866" customWidth="1"/>
    <col min="6146" max="6146" width="50" style="866" customWidth="1"/>
    <col min="6147" max="6147" width="10.7109375" style="866" customWidth="1"/>
    <col min="6148" max="6148" width="7.140625" style="866" customWidth="1"/>
    <col min="6149" max="6149" width="9.28515625" style="866" customWidth="1"/>
    <col min="6150" max="6155" width="9.140625" style="866" customWidth="1"/>
    <col min="6156" max="6156" width="7.140625" style="866" customWidth="1"/>
    <col min="6157" max="6157" width="6.7109375" style="866" customWidth="1"/>
    <col min="6158" max="6158" width="8" style="866" customWidth="1"/>
    <col min="6159" max="6159" width="8.42578125" style="866" customWidth="1"/>
    <col min="6160" max="6160" width="10.5703125" style="866" customWidth="1"/>
    <col min="6161" max="6161" width="7.140625" style="866" customWidth="1"/>
    <col min="6162" max="6162" width="8.85546875" style="866" customWidth="1"/>
    <col min="6163" max="6163" width="7.140625" style="866" customWidth="1"/>
    <col min="6164" max="6168" width="9.140625" style="866"/>
    <col min="6169" max="6169" width="8.140625" style="866" customWidth="1"/>
    <col min="6170" max="6173" width="9.140625" style="866"/>
    <col min="6174" max="6174" width="28.5703125" style="866" bestFit="1" customWidth="1"/>
    <col min="6175" max="6400" width="9.140625" style="866"/>
    <col min="6401" max="6401" width="5.85546875" style="866" customWidth="1"/>
    <col min="6402" max="6402" width="50" style="866" customWidth="1"/>
    <col min="6403" max="6403" width="10.7109375" style="866" customWidth="1"/>
    <col min="6404" max="6404" width="7.140625" style="866" customWidth="1"/>
    <col min="6405" max="6405" width="9.28515625" style="866" customWidth="1"/>
    <col min="6406" max="6411" width="9.140625" style="866" customWidth="1"/>
    <col min="6412" max="6412" width="7.140625" style="866" customWidth="1"/>
    <col min="6413" max="6413" width="6.7109375" style="866" customWidth="1"/>
    <col min="6414" max="6414" width="8" style="866" customWidth="1"/>
    <col min="6415" max="6415" width="8.42578125" style="866" customWidth="1"/>
    <col min="6416" max="6416" width="10.5703125" style="866" customWidth="1"/>
    <col min="6417" max="6417" width="7.140625" style="866" customWidth="1"/>
    <col min="6418" max="6418" width="8.85546875" style="866" customWidth="1"/>
    <col min="6419" max="6419" width="7.140625" style="866" customWidth="1"/>
    <col min="6420" max="6424" width="9.140625" style="866"/>
    <col min="6425" max="6425" width="8.140625" style="866" customWidth="1"/>
    <col min="6426" max="6429" width="9.140625" style="866"/>
    <col min="6430" max="6430" width="28.5703125" style="866" bestFit="1" customWidth="1"/>
    <col min="6431" max="6656" width="9.140625" style="866"/>
    <col min="6657" max="6657" width="5.85546875" style="866" customWidth="1"/>
    <col min="6658" max="6658" width="50" style="866" customWidth="1"/>
    <col min="6659" max="6659" width="10.7109375" style="866" customWidth="1"/>
    <col min="6660" max="6660" width="7.140625" style="866" customWidth="1"/>
    <col min="6661" max="6661" width="9.28515625" style="866" customWidth="1"/>
    <col min="6662" max="6667" width="9.140625" style="866" customWidth="1"/>
    <col min="6668" max="6668" width="7.140625" style="866" customWidth="1"/>
    <col min="6669" max="6669" width="6.7109375" style="866" customWidth="1"/>
    <col min="6670" max="6670" width="8" style="866" customWidth="1"/>
    <col min="6671" max="6671" width="8.42578125" style="866" customWidth="1"/>
    <col min="6672" max="6672" width="10.5703125" style="866" customWidth="1"/>
    <col min="6673" max="6673" width="7.140625" style="866" customWidth="1"/>
    <col min="6674" max="6674" width="8.85546875" style="866" customWidth="1"/>
    <col min="6675" max="6675" width="7.140625" style="866" customWidth="1"/>
    <col min="6676" max="6680" width="9.140625" style="866"/>
    <col min="6681" max="6681" width="8.140625" style="866" customWidth="1"/>
    <col min="6682" max="6685" width="9.140625" style="866"/>
    <col min="6686" max="6686" width="28.5703125" style="866" bestFit="1" customWidth="1"/>
    <col min="6687" max="6912" width="9.140625" style="866"/>
    <col min="6913" max="6913" width="5.85546875" style="866" customWidth="1"/>
    <col min="6914" max="6914" width="50" style="866" customWidth="1"/>
    <col min="6915" max="6915" width="10.7109375" style="866" customWidth="1"/>
    <col min="6916" max="6916" width="7.140625" style="866" customWidth="1"/>
    <col min="6917" max="6917" width="9.28515625" style="866" customWidth="1"/>
    <col min="6918" max="6923" width="9.140625" style="866" customWidth="1"/>
    <col min="6924" max="6924" width="7.140625" style="866" customWidth="1"/>
    <col min="6925" max="6925" width="6.7109375" style="866" customWidth="1"/>
    <col min="6926" max="6926" width="8" style="866" customWidth="1"/>
    <col min="6927" max="6927" width="8.42578125" style="866" customWidth="1"/>
    <col min="6928" max="6928" width="10.5703125" style="866" customWidth="1"/>
    <col min="6929" max="6929" width="7.140625" style="866" customWidth="1"/>
    <col min="6930" max="6930" width="8.85546875" style="866" customWidth="1"/>
    <col min="6931" max="6931" width="7.140625" style="866" customWidth="1"/>
    <col min="6932" max="6936" width="9.140625" style="866"/>
    <col min="6937" max="6937" width="8.140625" style="866" customWidth="1"/>
    <col min="6938" max="6941" width="9.140625" style="866"/>
    <col min="6942" max="6942" width="28.5703125" style="866" bestFit="1" customWidth="1"/>
    <col min="6943" max="7168" width="9.140625" style="866"/>
    <col min="7169" max="7169" width="5.85546875" style="866" customWidth="1"/>
    <col min="7170" max="7170" width="50" style="866" customWidth="1"/>
    <col min="7171" max="7171" width="10.7109375" style="866" customWidth="1"/>
    <col min="7172" max="7172" width="7.140625" style="866" customWidth="1"/>
    <col min="7173" max="7173" width="9.28515625" style="866" customWidth="1"/>
    <col min="7174" max="7179" width="9.140625" style="866" customWidth="1"/>
    <col min="7180" max="7180" width="7.140625" style="866" customWidth="1"/>
    <col min="7181" max="7181" width="6.7109375" style="866" customWidth="1"/>
    <col min="7182" max="7182" width="8" style="866" customWidth="1"/>
    <col min="7183" max="7183" width="8.42578125" style="866" customWidth="1"/>
    <col min="7184" max="7184" width="10.5703125" style="866" customWidth="1"/>
    <col min="7185" max="7185" width="7.140625" style="866" customWidth="1"/>
    <col min="7186" max="7186" width="8.85546875" style="866" customWidth="1"/>
    <col min="7187" max="7187" width="7.140625" style="866" customWidth="1"/>
    <col min="7188" max="7192" width="9.140625" style="866"/>
    <col min="7193" max="7193" width="8.140625" style="866" customWidth="1"/>
    <col min="7194" max="7197" width="9.140625" style="866"/>
    <col min="7198" max="7198" width="28.5703125" style="866" bestFit="1" customWidth="1"/>
    <col min="7199" max="7424" width="9.140625" style="866"/>
    <col min="7425" max="7425" width="5.85546875" style="866" customWidth="1"/>
    <col min="7426" max="7426" width="50" style="866" customWidth="1"/>
    <col min="7427" max="7427" width="10.7109375" style="866" customWidth="1"/>
    <col min="7428" max="7428" width="7.140625" style="866" customWidth="1"/>
    <col min="7429" max="7429" width="9.28515625" style="866" customWidth="1"/>
    <col min="7430" max="7435" width="9.140625" style="866" customWidth="1"/>
    <col min="7436" max="7436" width="7.140625" style="866" customWidth="1"/>
    <col min="7437" max="7437" width="6.7109375" style="866" customWidth="1"/>
    <col min="7438" max="7438" width="8" style="866" customWidth="1"/>
    <col min="7439" max="7439" width="8.42578125" style="866" customWidth="1"/>
    <col min="7440" max="7440" width="10.5703125" style="866" customWidth="1"/>
    <col min="7441" max="7441" width="7.140625" style="866" customWidth="1"/>
    <col min="7442" max="7442" width="8.85546875" style="866" customWidth="1"/>
    <col min="7443" max="7443" width="7.140625" style="866" customWidth="1"/>
    <col min="7444" max="7448" width="9.140625" style="866"/>
    <col min="7449" max="7449" width="8.140625" style="866" customWidth="1"/>
    <col min="7450" max="7453" width="9.140625" style="866"/>
    <col min="7454" max="7454" width="28.5703125" style="866" bestFit="1" customWidth="1"/>
    <col min="7455" max="7680" width="9.140625" style="866"/>
    <col min="7681" max="7681" width="5.85546875" style="866" customWidth="1"/>
    <col min="7682" max="7682" width="50" style="866" customWidth="1"/>
    <col min="7683" max="7683" width="10.7109375" style="866" customWidth="1"/>
    <col min="7684" max="7684" width="7.140625" style="866" customWidth="1"/>
    <col min="7685" max="7685" width="9.28515625" style="866" customWidth="1"/>
    <col min="7686" max="7691" width="9.140625" style="866" customWidth="1"/>
    <col min="7692" max="7692" width="7.140625" style="866" customWidth="1"/>
    <col min="7693" max="7693" width="6.7109375" style="866" customWidth="1"/>
    <col min="7694" max="7694" width="8" style="866" customWidth="1"/>
    <col min="7695" max="7695" width="8.42578125" style="866" customWidth="1"/>
    <col min="7696" max="7696" width="10.5703125" style="866" customWidth="1"/>
    <col min="7697" max="7697" width="7.140625" style="866" customWidth="1"/>
    <col min="7698" max="7698" width="8.85546875" style="866" customWidth="1"/>
    <col min="7699" max="7699" width="7.140625" style="866" customWidth="1"/>
    <col min="7700" max="7704" width="9.140625" style="866"/>
    <col min="7705" max="7705" width="8.140625" style="866" customWidth="1"/>
    <col min="7706" max="7709" width="9.140625" style="866"/>
    <col min="7710" max="7710" width="28.5703125" style="866" bestFit="1" customWidth="1"/>
    <col min="7711" max="7936" width="9.140625" style="866"/>
    <col min="7937" max="7937" width="5.85546875" style="866" customWidth="1"/>
    <col min="7938" max="7938" width="50" style="866" customWidth="1"/>
    <col min="7939" max="7939" width="10.7109375" style="866" customWidth="1"/>
    <col min="7940" max="7940" width="7.140625" style="866" customWidth="1"/>
    <col min="7941" max="7941" width="9.28515625" style="866" customWidth="1"/>
    <col min="7942" max="7947" width="9.140625" style="866" customWidth="1"/>
    <col min="7948" max="7948" width="7.140625" style="866" customWidth="1"/>
    <col min="7949" max="7949" width="6.7109375" style="866" customWidth="1"/>
    <col min="7950" max="7950" width="8" style="866" customWidth="1"/>
    <col min="7951" max="7951" width="8.42578125" style="866" customWidth="1"/>
    <col min="7952" max="7952" width="10.5703125" style="866" customWidth="1"/>
    <col min="7953" max="7953" width="7.140625" style="866" customWidth="1"/>
    <col min="7954" max="7954" width="8.85546875" style="866" customWidth="1"/>
    <col min="7955" max="7955" width="7.140625" style="866" customWidth="1"/>
    <col min="7956" max="7960" width="9.140625" style="866"/>
    <col min="7961" max="7961" width="8.140625" style="866" customWidth="1"/>
    <col min="7962" max="7965" width="9.140625" style="866"/>
    <col min="7966" max="7966" width="28.5703125" style="866" bestFit="1" customWidth="1"/>
    <col min="7967" max="8192" width="9.140625" style="866"/>
    <col min="8193" max="8193" width="5.85546875" style="866" customWidth="1"/>
    <col min="8194" max="8194" width="50" style="866" customWidth="1"/>
    <col min="8195" max="8195" width="10.7109375" style="866" customWidth="1"/>
    <col min="8196" max="8196" width="7.140625" style="866" customWidth="1"/>
    <col min="8197" max="8197" width="9.28515625" style="866" customWidth="1"/>
    <col min="8198" max="8203" width="9.140625" style="866" customWidth="1"/>
    <col min="8204" max="8204" width="7.140625" style="866" customWidth="1"/>
    <col min="8205" max="8205" width="6.7109375" style="866" customWidth="1"/>
    <col min="8206" max="8206" width="8" style="866" customWidth="1"/>
    <col min="8207" max="8207" width="8.42578125" style="866" customWidth="1"/>
    <col min="8208" max="8208" width="10.5703125" style="866" customWidth="1"/>
    <col min="8209" max="8209" width="7.140625" style="866" customWidth="1"/>
    <col min="8210" max="8210" width="8.85546875" style="866" customWidth="1"/>
    <col min="8211" max="8211" width="7.140625" style="866" customWidth="1"/>
    <col min="8212" max="8216" width="9.140625" style="866"/>
    <col min="8217" max="8217" width="8.140625" style="866" customWidth="1"/>
    <col min="8218" max="8221" width="9.140625" style="866"/>
    <col min="8222" max="8222" width="28.5703125" style="866" bestFit="1" customWidth="1"/>
    <col min="8223" max="8448" width="9.140625" style="866"/>
    <col min="8449" max="8449" width="5.85546875" style="866" customWidth="1"/>
    <col min="8450" max="8450" width="50" style="866" customWidth="1"/>
    <col min="8451" max="8451" width="10.7109375" style="866" customWidth="1"/>
    <col min="8452" max="8452" width="7.140625" style="866" customWidth="1"/>
    <col min="8453" max="8453" width="9.28515625" style="866" customWidth="1"/>
    <col min="8454" max="8459" width="9.140625" style="866" customWidth="1"/>
    <col min="8460" max="8460" width="7.140625" style="866" customWidth="1"/>
    <col min="8461" max="8461" width="6.7109375" style="866" customWidth="1"/>
    <col min="8462" max="8462" width="8" style="866" customWidth="1"/>
    <col min="8463" max="8463" width="8.42578125" style="866" customWidth="1"/>
    <col min="8464" max="8464" width="10.5703125" style="866" customWidth="1"/>
    <col min="8465" max="8465" width="7.140625" style="866" customWidth="1"/>
    <col min="8466" max="8466" width="8.85546875" style="866" customWidth="1"/>
    <col min="8467" max="8467" width="7.140625" style="866" customWidth="1"/>
    <col min="8468" max="8472" width="9.140625" style="866"/>
    <col min="8473" max="8473" width="8.140625" style="866" customWidth="1"/>
    <col min="8474" max="8477" width="9.140625" style="866"/>
    <col min="8478" max="8478" width="28.5703125" style="866" bestFit="1" customWidth="1"/>
    <col min="8479" max="8704" width="9.140625" style="866"/>
    <col min="8705" max="8705" width="5.85546875" style="866" customWidth="1"/>
    <col min="8706" max="8706" width="50" style="866" customWidth="1"/>
    <col min="8707" max="8707" width="10.7109375" style="866" customWidth="1"/>
    <col min="8708" max="8708" width="7.140625" style="866" customWidth="1"/>
    <col min="8709" max="8709" width="9.28515625" style="866" customWidth="1"/>
    <col min="8710" max="8715" width="9.140625" style="866" customWidth="1"/>
    <col min="8716" max="8716" width="7.140625" style="866" customWidth="1"/>
    <col min="8717" max="8717" width="6.7109375" style="866" customWidth="1"/>
    <col min="8718" max="8718" width="8" style="866" customWidth="1"/>
    <col min="8719" max="8719" width="8.42578125" style="866" customWidth="1"/>
    <col min="8720" max="8720" width="10.5703125" style="866" customWidth="1"/>
    <col min="8721" max="8721" width="7.140625" style="866" customWidth="1"/>
    <col min="8722" max="8722" width="8.85546875" style="866" customWidth="1"/>
    <col min="8723" max="8723" width="7.140625" style="866" customWidth="1"/>
    <col min="8724" max="8728" width="9.140625" style="866"/>
    <col min="8729" max="8729" width="8.140625" style="866" customWidth="1"/>
    <col min="8730" max="8733" width="9.140625" style="866"/>
    <col min="8734" max="8734" width="28.5703125" style="866" bestFit="1" customWidth="1"/>
    <col min="8735" max="8960" width="9.140625" style="866"/>
    <col min="8961" max="8961" width="5.85546875" style="866" customWidth="1"/>
    <col min="8962" max="8962" width="50" style="866" customWidth="1"/>
    <col min="8963" max="8963" width="10.7109375" style="866" customWidth="1"/>
    <col min="8964" max="8964" width="7.140625" style="866" customWidth="1"/>
    <col min="8965" max="8965" width="9.28515625" style="866" customWidth="1"/>
    <col min="8966" max="8971" width="9.140625" style="866" customWidth="1"/>
    <col min="8972" max="8972" width="7.140625" style="866" customWidth="1"/>
    <col min="8973" max="8973" width="6.7109375" style="866" customWidth="1"/>
    <col min="8974" max="8974" width="8" style="866" customWidth="1"/>
    <col min="8975" max="8975" width="8.42578125" style="866" customWidth="1"/>
    <col min="8976" max="8976" width="10.5703125" style="866" customWidth="1"/>
    <col min="8977" max="8977" width="7.140625" style="866" customWidth="1"/>
    <col min="8978" max="8978" width="8.85546875" style="866" customWidth="1"/>
    <col min="8979" max="8979" width="7.140625" style="866" customWidth="1"/>
    <col min="8980" max="8984" width="9.140625" style="866"/>
    <col min="8985" max="8985" width="8.140625" style="866" customWidth="1"/>
    <col min="8986" max="8989" width="9.140625" style="866"/>
    <col min="8990" max="8990" width="28.5703125" style="866" bestFit="1" customWidth="1"/>
    <col min="8991" max="9216" width="9.140625" style="866"/>
    <col min="9217" max="9217" width="5.85546875" style="866" customWidth="1"/>
    <col min="9218" max="9218" width="50" style="866" customWidth="1"/>
    <col min="9219" max="9219" width="10.7109375" style="866" customWidth="1"/>
    <col min="9220" max="9220" width="7.140625" style="866" customWidth="1"/>
    <col min="9221" max="9221" width="9.28515625" style="866" customWidth="1"/>
    <col min="9222" max="9227" width="9.140625" style="866" customWidth="1"/>
    <col min="9228" max="9228" width="7.140625" style="866" customWidth="1"/>
    <col min="9229" max="9229" width="6.7109375" style="866" customWidth="1"/>
    <col min="9230" max="9230" width="8" style="866" customWidth="1"/>
    <col min="9231" max="9231" width="8.42578125" style="866" customWidth="1"/>
    <col min="9232" max="9232" width="10.5703125" style="866" customWidth="1"/>
    <col min="9233" max="9233" width="7.140625" style="866" customWidth="1"/>
    <col min="9234" max="9234" width="8.85546875" style="866" customWidth="1"/>
    <col min="9235" max="9235" width="7.140625" style="866" customWidth="1"/>
    <col min="9236" max="9240" width="9.140625" style="866"/>
    <col min="9241" max="9241" width="8.140625" style="866" customWidth="1"/>
    <col min="9242" max="9245" width="9.140625" style="866"/>
    <col min="9246" max="9246" width="28.5703125" style="866" bestFit="1" customWidth="1"/>
    <col min="9247" max="9472" width="9.140625" style="866"/>
    <col min="9473" max="9473" width="5.85546875" style="866" customWidth="1"/>
    <col min="9474" max="9474" width="50" style="866" customWidth="1"/>
    <col min="9475" max="9475" width="10.7109375" style="866" customWidth="1"/>
    <col min="9476" max="9476" width="7.140625" style="866" customWidth="1"/>
    <col min="9477" max="9477" width="9.28515625" style="866" customWidth="1"/>
    <col min="9478" max="9483" width="9.140625" style="866" customWidth="1"/>
    <col min="9484" max="9484" width="7.140625" style="866" customWidth="1"/>
    <col min="9485" max="9485" width="6.7109375" style="866" customWidth="1"/>
    <col min="9486" max="9486" width="8" style="866" customWidth="1"/>
    <col min="9487" max="9487" width="8.42578125" style="866" customWidth="1"/>
    <col min="9488" max="9488" width="10.5703125" style="866" customWidth="1"/>
    <col min="9489" max="9489" width="7.140625" style="866" customWidth="1"/>
    <col min="9490" max="9490" width="8.85546875" style="866" customWidth="1"/>
    <col min="9491" max="9491" width="7.140625" style="866" customWidth="1"/>
    <col min="9492" max="9496" width="9.140625" style="866"/>
    <col min="9497" max="9497" width="8.140625" style="866" customWidth="1"/>
    <col min="9498" max="9501" width="9.140625" style="866"/>
    <col min="9502" max="9502" width="28.5703125" style="866" bestFit="1" customWidth="1"/>
    <col min="9503" max="9728" width="9.140625" style="866"/>
    <col min="9729" max="9729" width="5.85546875" style="866" customWidth="1"/>
    <col min="9730" max="9730" width="50" style="866" customWidth="1"/>
    <col min="9731" max="9731" width="10.7109375" style="866" customWidth="1"/>
    <col min="9732" max="9732" width="7.140625" style="866" customWidth="1"/>
    <col min="9733" max="9733" width="9.28515625" style="866" customWidth="1"/>
    <col min="9734" max="9739" width="9.140625" style="866" customWidth="1"/>
    <col min="9740" max="9740" width="7.140625" style="866" customWidth="1"/>
    <col min="9741" max="9741" width="6.7109375" style="866" customWidth="1"/>
    <col min="9742" max="9742" width="8" style="866" customWidth="1"/>
    <col min="9743" max="9743" width="8.42578125" style="866" customWidth="1"/>
    <col min="9744" max="9744" width="10.5703125" style="866" customWidth="1"/>
    <col min="9745" max="9745" width="7.140625" style="866" customWidth="1"/>
    <col min="9746" max="9746" width="8.85546875" style="866" customWidth="1"/>
    <col min="9747" max="9747" width="7.140625" style="866" customWidth="1"/>
    <col min="9748" max="9752" width="9.140625" style="866"/>
    <col min="9753" max="9753" width="8.140625" style="866" customWidth="1"/>
    <col min="9754" max="9757" width="9.140625" style="866"/>
    <col min="9758" max="9758" width="28.5703125" style="866" bestFit="1" customWidth="1"/>
    <col min="9759" max="9984" width="9.140625" style="866"/>
    <col min="9985" max="9985" width="5.85546875" style="866" customWidth="1"/>
    <col min="9986" max="9986" width="50" style="866" customWidth="1"/>
    <col min="9987" max="9987" width="10.7109375" style="866" customWidth="1"/>
    <col min="9988" max="9988" width="7.140625" style="866" customWidth="1"/>
    <col min="9989" max="9989" width="9.28515625" style="866" customWidth="1"/>
    <col min="9990" max="9995" width="9.140625" style="866" customWidth="1"/>
    <col min="9996" max="9996" width="7.140625" style="866" customWidth="1"/>
    <col min="9997" max="9997" width="6.7109375" style="866" customWidth="1"/>
    <col min="9998" max="9998" width="8" style="866" customWidth="1"/>
    <col min="9999" max="9999" width="8.42578125" style="866" customWidth="1"/>
    <col min="10000" max="10000" width="10.5703125" style="866" customWidth="1"/>
    <col min="10001" max="10001" width="7.140625" style="866" customWidth="1"/>
    <col min="10002" max="10002" width="8.85546875" style="866" customWidth="1"/>
    <col min="10003" max="10003" width="7.140625" style="866" customWidth="1"/>
    <col min="10004" max="10008" width="9.140625" style="866"/>
    <col min="10009" max="10009" width="8.140625" style="866" customWidth="1"/>
    <col min="10010" max="10013" width="9.140625" style="866"/>
    <col min="10014" max="10014" width="28.5703125" style="866" bestFit="1" customWidth="1"/>
    <col min="10015" max="10240" width="9.140625" style="866"/>
    <col min="10241" max="10241" width="5.85546875" style="866" customWidth="1"/>
    <col min="10242" max="10242" width="50" style="866" customWidth="1"/>
    <col min="10243" max="10243" width="10.7109375" style="866" customWidth="1"/>
    <col min="10244" max="10244" width="7.140625" style="866" customWidth="1"/>
    <col min="10245" max="10245" width="9.28515625" style="866" customWidth="1"/>
    <col min="10246" max="10251" width="9.140625" style="866" customWidth="1"/>
    <col min="10252" max="10252" width="7.140625" style="866" customWidth="1"/>
    <col min="10253" max="10253" width="6.7109375" style="866" customWidth="1"/>
    <col min="10254" max="10254" width="8" style="866" customWidth="1"/>
    <col min="10255" max="10255" width="8.42578125" style="866" customWidth="1"/>
    <col min="10256" max="10256" width="10.5703125" style="866" customWidth="1"/>
    <col min="10257" max="10257" width="7.140625" style="866" customWidth="1"/>
    <col min="10258" max="10258" width="8.85546875" style="866" customWidth="1"/>
    <col min="10259" max="10259" width="7.140625" style="866" customWidth="1"/>
    <col min="10260" max="10264" width="9.140625" style="866"/>
    <col min="10265" max="10265" width="8.140625" style="866" customWidth="1"/>
    <col min="10266" max="10269" width="9.140625" style="866"/>
    <col min="10270" max="10270" width="28.5703125" style="866" bestFit="1" customWidth="1"/>
    <col min="10271" max="10496" width="9.140625" style="866"/>
    <col min="10497" max="10497" width="5.85546875" style="866" customWidth="1"/>
    <col min="10498" max="10498" width="50" style="866" customWidth="1"/>
    <col min="10499" max="10499" width="10.7109375" style="866" customWidth="1"/>
    <col min="10500" max="10500" width="7.140625" style="866" customWidth="1"/>
    <col min="10501" max="10501" width="9.28515625" style="866" customWidth="1"/>
    <col min="10502" max="10507" width="9.140625" style="866" customWidth="1"/>
    <col min="10508" max="10508" width="7.140625" style="866" customWidth="1"/>
    <col min="10509" max="10509" width="6.7109375" style="866" customWidth="1"/>
    <col min="10510" max="10510" width="8" style="866" customWidth="1"/>
    <col min="10511" max="10511" width="8.42578125" style="866" customWidth="1"/>
    <col min="10512" max="10512" width="10.5703125" style="866" customWidth="1"/>
    <col min="10513" max="10513" width="7.140625" style="866" customWidth="1"/>
    <col min="10514" max="10514" width="8.85546875" style="866" customWidth="1"/>
    <col min="10515" max="10515" width="7.140625" style="866" customWidth="1"/>
    <col min="10516" max="10520" width="9.140625" style="866"/>
    <col min="10521" max="10521" width="8.140625" style="866" customWidth="1"/>
    <col min="10522" max="10525" width="9.140625" style="866"/>
    <col min="10526" max="10526" width="28.5703125" style="866" bestFit="1" customWidth="1"/>
    <col min="10527" max="10752" width="9.140625" style="866"/>
    <col min="10753" max="10753" width="5.85546875" style="866" customWidth="1"/>
    <col min="10754" max="10754" width="50" style="866" customWidth="1"/>
    <col min="10755" max="10755" width="10.7109375" style="866" customWidth="1"/>
    <col min="10756" max="10756" width="7.140625" style="866" customWidth="1"/>
    <col min="10757" max="10757" width="9.28515625" style="866" customWidth="1"/>
    <col min="10758" max="10763" width="9.140625" style="866" customWidth="1"/>
    <col min="10764" max="10764" width="7.140625" style="866" customWidth="1"/>
    <col min="10765" max="10765" width="6.7109375" style="866" customWidth="1"/>
    <col min="10766" max="10766" width="8" style="866" customWidth="1"/>
    <col min="10767" max="10767" width="8.42578125" style="866" customWidth="1"/>
    <col min="10768" max="10768" width="10.5703125" style="866" customWidth="1"/>
    <col min="10769" max="10769" width="7.140625" style="866" customWidth="1"/>
    <col min="10770" max="10770" width="8.85546875" style="866" customWidth="1"/>
    <col min="10771" max="10771" width="7.140625" style="866" customWidth="1"/>
    <col min="10772" max="10776" width="9.140625" style="866"/>
    <col min="10777" max="10777" width="8.140625" style="866" customWidth="1"/>
    <col min="10778" max="10781" width="9.140625" style="866"/>
    <col min="10782" max="10782" width="28.5703125" style="866" bestFit="1" customWidth="1"/>
    <col min="10783" max="11008" width="9.140625" style="866"/>
    <col min="11009" max="11009" width="5.85546875" style="866" customWidth="1"/>
    <col min="11010" max="11010" width="50" style="866" customWidth="1"/>
    <col min="11011" max="11011" width="10.7109375" style="866" customWidth="1"/>
    <col min="11012" max="11012" width="7.140625" style="866" customWidth="1"/>
    <col min="11013" max="11013" width="9.28515625" style="866" customWidth="1"/>
    <col min="11014" max="11019" width="9.140625" style="866" customWidth="1"/>
    <col min="11020" max="11020" width="7.140625" style="866" customWidth="1"/>
    <col min="11021" max="11021" width="6.7109375" style="866" customWidth="1"/>
    <col min="11022" max="11022" width="8" style="866" customWidth="1"/>
    <col min="11023" max="11023" width="8.42578125" style="866" customWidth="1"/>
    <col min="11024" max="11024" width="10.5703125" style="866" customWidth="1"/>
    <col min="11025" max="11025" width="7.140625" style="866" customWidth="1"/>
    <col min="11026" max="11026" width="8.85546875" style="866" customWidth="1"/>
    <col min="11027" max="11027" width="7.140625" style="866" customWidth="1"/>
    <col min="11028" max="11032" width="9.140625" style="866"/>
    <col min="11033" max="11033" width="8.140625" style="866" customWidth="1"/>
    <col min="11034" max="11037" width="9.140625" style="866"/>
    <col min="11038" max="11038" width="28.5703125" style="866" bestFit="1" customWidth="1"/>
    <col min="11039" max="11264" width="9.140625" style="866"/>
    <col min="11265" max="11265" width="5.85546875" style="866" customWidth="1"/>
    <col min="11266" max="11266" width="50" style="866" customWidth="1"/>
    <col min="11267" max="11267" width="10.7109375" style="866" customWidth="1"/>
    <col min="11268" max="11268" width="7.140625" style="866" customWidth="1"/>
    <col min="11269" max="11269" width="9.28515625" style="866" customWidth="1"/>
    <col min="11270" max="11275" width="9.140625" style="866" customWidth="1"/>
    <col min="11276" max="11276" width="7.140625" style="866" customWidth="1"/>
    <col min="11277" max="11277" width="6.7109375" style="866" customWidth="1"/>
    <col min="11278" max="11278" width="8" style="866" customWidth="1"/>
    <col min="11279" max="11279" width="8.42578125" style="866" customWidth="1"/>
    <col min="11280" max="11280" width="10.5703125" style="866" customWidth="1"/>
    <col min="11281" max="11281" width="7.140625" style="866" customWidth="1"/>
    <col min="11282" max="11282" width="8.85546875" style="866" customWidth="1"/>
    <col min="11283" max="11283" width="7.140625" style="866" customWidth="1"/>
    <col min="11284" max="11288" width="9.140625" style="866"/>
    <col min="11289" max="11289" width="8.140625" style="866" customWidth="1"/>
    <col min="11290" max="11293" width="9.140625" style="866"/>
    <col min="11294" max="11294" width="28.5703125" style="866" bestFit="1" customWidth="1"/>
    <col min="11295" max="11520" width="9.140625" style="866"/>
    <col min="11521" max="11521" width="5.85546875" style="866" customWidth="1"/>
    <col min="11522" max="11522" width="50" style="866" customWidth="1"/>
    <col min="11523" max="11523" width="10.7109375" style="866" customWidth="1"/>
    <col min="11524" max="11524" width="7.140625" style="866" customWidth="1"/>
    <col min="11525" max="11525" width="9.28515625" style="866" customWidth="1"/>
    <col min="11526" max="11531" width="9.140625" style="866" customWidth="1"/>
    <col min="11532" max="11532" width="7.140625" style="866" customWidth="1"/>
    <col min="11533" max="11533" width="6.7109375" style="866" customWidth="1"/>
    <col min="11534" max="11534" width="8" style="866" customWidth="1"/>
    <col min="11535" max="11535" width="8.42578125" style="866" customWidth="1"/>
    <col min="11536" max="11536" width="10.5703125" style="866" customWidth="1"/>
    <col min="11537" max="11537" width="7.140625" style="866" customWidth="1"/>
    <col min="11538" max="11538" width="8.85546875" style="866" customWidth="1"/>
    <col min="11539" max="11539" width="7.140625" style="866" customWidth="1"/>
    <col min="11540" max="11544" width="9.140625" style="866"/>
    <col min="11545" max="11545" width="8.140625" style="866" customWidth="1"/>
    <col min="11546" max="11549" width="9.140625" style="866"/>
    <col min="11550" max="11550" width="28.5703125" style="866" bestFit="1" customWidth="1"/>
    <col min="11551" max="11776" width="9.140625" style="866"/>
    <col min="11777" max="11777" width="5.85546875" style="866" customWidth="1"/>
    <col min="11778" max="11778" width="50" style="866" customWidth="1"/>
    <col min="11779" max="11779" width="10.7109375" style="866" customWidth="1"/>
    <col min="11780" max="11780" width="7.140625" style="866" customWidth="1"/>
    <col min="11781" max="11781" width="9.28515625" style="866" customWidth="1"/>
    <col min="11782" max="11787" width="9.140625" style="866" customWidth="1"/>
    <col min="11788" max="11788" width="7.140625" style="866" customWidth="1"/>
    <col min="11789" max="11789" width="6.7109375" style="866" customWidth="1"/>
    <col min="11790" max="11790" width="8" style="866" customWidth="1"/>
    <col min="11791" max="11791" width="8.42578125" style="866" customWidth="1"/>
    <col min="11792" max="11792" width="10.5703125" style="866" customWidth="1"/>
    <col min="11793" max="11793" width="7.140625" style="866" customWidth="1"/>
    <col min="11794" max="11794" width="8.85546875" style="866" customWidth="1"/>
    <col min="11795" max="11795" width="7.140625" style="866" customWidth="1"/>
    <col min="11796" max="11800" width="9.140625" style="866"/>
    <col min="11801" max="11801" width="8.140625" style="866" customWidth="1"/>
    <col min="11802" max="11805" width="9.140625" style="866"/>
    <col min="11806" max="11806" width="28.5703125" style="866" bestFit="1" customWidth="1"/>
    <col min="11807" max="12032" width="9.140625" style="866"/>
    <col min="12033" max="12033" width="5.85546875" style="866" customWidth="1"/>
    <col min="12034" max="12034" width="50" style="866" customWidth="1"/>
    <col min="12035" max="12035" width="10.7109375" style="866" customWidth="1"/>
    <col min="12036" max="12036" width="7.140625" style="866" customWidth="1"/>
    <col min="12037" max="12037" width="9.28515625" style="866" customWidth="1"/>
    <col min="12038" max="12043" width="9.140625" style="866" customWidth="1"/>
    <col min="12044" max="12044" width="7.140625" style="866" customWidth="1"/>
    <col min="12045" max="12045" width="6.7109375" style="866" customWidth="1"/>
    <col min="12046" max="12046" width="8" style="866" customWidth="1"/>
    <col min="12047" max="12047" width="8.42578125" style="866" customWidth="1"/>
    <col min="12048" max="12048" width="10.5703125" style="866" customWidth="1"/>
    <col min="12049" max="12049" width="7.140625" style="866" customWidth="1"/>
    <col min="12050" max="12050" width="8.85546875" style="866" customWidth="1"/>
    <col min="12051" max="12051" width="7.140625" style="866" customWidth="1"/>
    <col min="12052" max="12056" width="9.140625" style="866"/>
    <col min="12057" max="12057" width="8.140625" style="866" customWidth="1"/>
    <col min="12058" max="12061" width="9.140625" style="866"/>
    <col min="12062" max="12062" width="28.5703125" style="866" bestFit="1" customWidth="1"/>
    <col min="12063" max="12288" width="9.140625" style="866"/>
    <col min="12289" max="12289" width="5.85546875" style="866" customWidth="1"/>
    <col min="12290" max="12290" width="50" style="866" customWidth="1"/>
    <col min="12291" max="12291" width="10.7109375" style="866" customWidth="1"/>
    <col min="12292" max="12292" width="7.140625" style="866" customWidth="1"/>
    <col min="12293" max="12293" width="9.28515625" style="866" customWidth="1"/>
    <col min="12294" max="12299" width="9.140625" style="866" customWidth="1"/>
    <col min="12300" max="12300" width="7.140625" style="866" customWidth="1"/>
    <col min="12301" max="12301" width="6.7109375" style="866" customWidth="1"/>
    <col min="12302" max="12302" width="8" style="866" customWidth="1"/>
    <col min="12303" max="12303" width="8.42578125" style="866" customWidth="1"/>
    <col min="12304" max="12304" width="10.5703125" style="866" customWidth="1"/>
    <col min="12305" max="12305" width="7.140625" style="866" customWidth="1"/>
    <col min="12306" max="12306" width="8.85546875" style="866" customWidth="1"/>
    <col min="12307" max="12307" width="7.140625" style="866" customWidth="1"/>
    <col min="12308" max="12312" width="9.140625" style="866"/>
    <col min="12313" max="12313" width="8.140625" style="866" customWidth="1"/>
    <col min="12314" max="12317" width="9.140625" style="866"/>
    <col min="12318" max="12318" width="28.5703125" style="866" bestFit="1" customWidth="1"/>
    <col min="12319" max="12544" width="9.140625" style="866"/>
    <col min="12545" max="12545" width="5.85546875" style="866" customWidth="1"/>
    <col min="12546" max="12546" width="50" style="866" customWidth="1"/>
    <col min="12547" max="12547" width="10.7109375" style="866" customWidth="1"/>
    <col min="12548" max="12548" width="7.140625" style="866" customWidth="1"/>
    <col min="12549" max="12549" width="9.28515625" style="866" customWidth="1"/>
    <col min="12550" max="12555" width="9.140625" style="866" customWidth="1"/>
    <col min="12556" max="12556" width="7.140625" style="866" customWidth="1"/>
    <col min="12557" max="12557" width="6.7109375" style="866" customWidth="1"/>
    <col min="12558" max="12558" width="8" style="866" customWidth="1"/>
    <col min="12559" max="12559" width="8.42578125" style="866" customWidth="1"/>
    <col min="12560" max="12560" width="10.5703125" style="866" customWidth="1"/>
    <col min="12561" max="12561" width="7.140625" style="866" customWidth="1"/>
    <col min="12562" max="12562" width="8.85546875" style="866" customWidth="1"/>
    <col min="12563" max="12563" width="7.140625" style="866" customWidth="1"/>
    <col min="12564" max="12568" width="9.140625" style="866"/>
    <col min="12569" max="12569" width="8.140625" style="866" customWidth="1"/>
    <col min="12570" max="12573" width="9.140625" style="866"/>
    <col min="12574" max="12574" width="28.5703125" style="866" bestFit="1" customWidth="1"/>
    <col min="12575" max="12800" width="9.140625" style="866"/>
    <col min="12801" max="12801" width="5.85546875" style="866" customWidth="1"/>
    <col min="12802" max="12802" width="50" style="866" customWidth="1"/>
    <col min="12803" max="12803" width="10.7109375" style="866" customWidth="1"/>
    <col min="12804" max="12804" width="7.140625" style="866" customWidth="1"/>
    <col min="12805" max="12805" width="9.28515625" style="866" customWidth="1"/>
    <col min="12806" max="12811" width="9.140625" style="866" customWidth="1"/>
    <col min="12812" max="12812" width="7.140625" style="866" customWidth="1"/>
    <col min="12813" max="12813" width="6.7109375" style="866" customWidth="1"/>
    <col min="12814" max="12814" width="8" style="866" customWidth="1"/>
    <col min="12815" max="12815" width="8.42578125" style="866" customWidth="1"/>
    <col min="12816" max="12816" width="10.5703125" style="866" customWidth="1"/>
    <col min="12817" max="12817" width="7.140625" style="866" customWidth="1"/>
    <col min="12818" max="12818" width="8.85546875" style="866" customWidth="1"/>
    <col min="12819" max="12819" width="7.140625" style="866" customWidth="1"/>
    <col min="12820" max="12824" width="9.140625" style="866"/>
    <col min="12825" max="12825" width="8.140625" style="866" customWidth="1"/>
    <col min="12826" max="12829" width="9.140625" style="866"/>
    <col min="12830" max="12830" width="28.5703125" style="866" bestFit="1" customWidth="1"/>
    <col min="12831" max="13056" width="9.140625" style="866"/>
    <col min="13057" max="13057" width="5.85546875" style="866" customWidth="1"/>
    <col min="13058" max="13058" width="50" style="866" customWidth="1"/>
    <col min="13059" max="13059" width="10.7109375" style="866" customWidth="1"/>
    <col min="13060" max="13060" width="7.140625" style="866" customWidth="1"/>
    <col min="13061" max="13061" width="9.28515625" style="866" customWidth="1"/>
    <col min="13062" max="13067" width="9.140625" style="866" customWidth="1"/>
    <col min="13068" max="13068" width="7.140625" style="866" customWidth="1"/>
    <col min="13069" max="13069" width="6.7109375" style="866" customWidth="1"/>
    <col min="13070" max="13070" width="8" style="866" customWidth="1"/>
    <col min="13071" max="13071" width="8.42578125" style="866" customWidth="1"/>
    <col min="13072" max="13072" width="10.5703125" style="866" customWidth="1"/>
    <col min="13073" max="13073" width="7.140625" style="866" customWidth="1"/>
    <col min="13074" max="13074" width="8.85546875" style="866" customWidth="1"/>
    <col min="13075" max="13075" width="7.140625" style="866" customWidth="1"/>
    <col min="13076" max="13080" width="9.140625" style="866"/>
    <col min="13081" max="13081" width="8.140625" style="866" customWidth="1"/>
    <col min="13082" max="13085" width="9.140625" style="866"/>
    <col min="13086" max="13086" width="28.5703125" style="866" bestFit="1" customWidth="1"/>
    <col min="13087" max="13312" width="9.140625" style="866"/>
    <col min="13313" max="13313" width="5.85546875" style="866" customWidth="1"/>
    <col min="13314" max="13314" width="50" style="866" customWidth="1"/>
    <col min="13315" max="13315" width="10.7109375" style="866" customWidth="1"/>
    <col min="13316" max="13316" width="7.140625" style="866" customWidth="1"/>
    <col min="13317" max="13317" width="9.28515625" style="866" customWidth="1"/>
    <col min="13318" max="13323" width="9.140625" style="866" customWidth="1"/>
    <col min="13324" max="13324" width="7.140625" style="866" customWidth="1"/>
    <col min="13325" max="13325" width="6.7109375" style="866" customWidth="1"/>
    <col min="13326" max="13326" width="8" style="866" customWidth="1"/>
    <col min="13327" max="13327" width="8.42578125" style="866" customWidth="1"/>
    <col min="13328" max="13328" width="10.5703125" style="866" customWidth="1"/>
    <col min="13329" max="13329" width="7.140625" style="866" customWidth="1"/>
    <col min="13330" max="13330" width="8.85546875" style="866" customWidth="1"/>
    <col min="13331" max="13331" width="7.140625" style="866" customWidth="1"/>
    <col min="13332" max="13336" width="9.140625" style="866"/>
    <col min="13337" max="13337" width="8.140625" style="866" customWidth="1"/>
    <col min="13338" max="13341" width="9.140625" style="866"/>
    <col min="13342" max="13342" width="28.5703125" style="866" bestFit="1" customWidth="1"/>
    <col min="13343" max="13568" width="9.140625" style="866"/>
    <col min="13569" max="13569" width="5.85546875" style="866" customWidth="1"/>
    <col min="13570" max="13570" width="50" style="866" customWidth="1"/>
    <col min="13571" max="13571" width="10.7109375" style="866" customWidth="1"/>
    <col min="13572" max="13572" width="7.140625" style="866" customWidth="1"/>
    <col min="13573" max="13573" width="9.28515625" style="866" customWidth="1"/>
    <col min="13574" max="13579" width="9.140625" style="866" customWidth="1"/>
    <col min="13580" max="13580" width="7.140625" style="866" customWidth="1"/>
    <col min="13581" max="13581" width="6.7109375" style="866" customWidth="1"/>
    <col min="13582" max="13582" width="8" style="866" customWidth="1"/>
    <col min="13583" max="13583" width="8.42578125" style="866" customWidth="1"/>
    <col min="13584" max="13584" width="10.5703125" style="866" customWidth="1"/>
    <col min="13585" max="13585" width="7.140625" style="866" customWidth="1"/>
    <col min="13586" max="13586" width="8.85546875" style="866" customWidth="1"/>
    <col min="13587" max="13587" width="7.140625" style="866" customWidth="1"/>
    <col min="13588" max="13592" width="9.140625" style="866"/>
    <col min="13593" max="13593" width="8.140625" style="866" customWidth="1"/>
    <col min="13594" max="13597" width="9.140625" style="866"/>
    <col min="13598" max="13598" width="28.5703125" style="866" bestFit="1" customWidth="1"/>
    <col min="13599" max="13824" width="9.140625" style="866"/>
    <col min="13825" max="13825" width="5.85546875" style="866" customWidth="1"/>
    <col min="13826" max="13826" width="50" style="866" customWidth="1"/>
    <col min="13827" max="13827" width="10.7109375" style="866" customWidth="1"/>
    <col min="13828" max="13828" width="7.140625" style="866" customWidth="1"/>
    <col min="13829" max="13829" width="9.28515625" style="866" customWidth="1"/>
    <col min="13830" max="13835" width="9.140625" style="866" customWidth="1"/>
    <col min="13836" max="13836" width="7.140625" style="866" customWidth="1"/>
    <col min="13837" max="13837" width="6.7109375" style="866" customWidth="1"/>
    <col min="13838" max="13838" width="8" style="866" customWidth="1"/>
    <col min="13839" max="13839" width="8.42578125" style="866" customWidth="1"/>
    <col min="13840" max="13840" width="10.5703125" style="866" customWidth="1"/>
    <col min="13841" max="13841" width="7.140625" style="866" customWidth="1"/>
    <col min="13842" max="13842" width="8.85546875" style="866" customWidth="1"/>
    <col min="13843" max="13843" width="7.140625" style="866" customWidth="1"/>
    <col min="13844" max="13848" width="9.140625" style="866"/>
    <col min="13849" max="13849" width="8.140625" style="866" customWidth="1"/>
    <col min="13850" max="13853" width="9.140625" style="866"/>
    <col min="13854" max="13854" width="28.5703125" style="866" bestFit="1" customWidth="1"/>
    <col min="13855" max="14080" width="9.140625" style="866"/>
    <col min="14081" max="14081" width="5.85546875" style="866" customWidth="1"/>
    <col min="14082" max="14082" width="50" style="866" customWidth="1"/>
    <col min="14083" max="14083" width="10.7109375" style="866" customWidth="1"/>
    <col min="14084" max="14084" width="7.140625" style="866" customWidth="1"/>
    <col min="14085" max="14085" width="9.28515625" style="866" customWidth="1"/>
    <col min="14086" max="14091" width="9.140625" style="866" customWidth="1"/>
    <col min="14092" max="14092" width="7.140625" style="866" customWidth="1"/>
    <col min="14093" max="14093" width="6.7109375" style="866" customWidth="1"/>
    <col min="14094" max="14094" width="8" style="866" customWidth="1"/>
    <col min="14095" max="14095" width="8.42578125" style="866" customWidth="1"/>
    <col min="14096" max="14096" width="10.5703125" style="866" customWidth="1"/>
    <col min="14097" max="14097" width="7.140625" style="866" customWidth="1"/>
    <col min="14098" max="14098" width="8.85546875" style="866" customWidth="1"/>
    <col min="14099" max="14099" width="7.140625" style="866" customWidth="1"/>
    <col min="14100" max="14104" width="9.140625" style="866"/>
    <col min="14105" max="14105" width="8.140625" style="866" customWidth="1"/>
    <col min="14106" max="14109" width="9.140625" style="866"/>
    <col min="14110" max="14110" width="28.5703125" style="866" bestFit="1" customWidth="1"/>
    <col min="14111" max="14336" width="9.140625" style="866"/>
    <col min="14337" max="14337" width="5.85546875" style="866" customWidth="1"/>
    <col min="14338" max="14338" width="50" style="866" customWidth="1"/>
    <col min="14339" max="14339" width="10.7109375" style="866" customWidth="1"/>
    <col min="14340" max="14340" width="7.140625" style="866" customWidth="1"/>
    <col min="14341" max="14341" width="9.28515625" style="866" customWidth="1"/>
    <col min="14342" max="14347" width="9.140625" style="866" customWidth="1"/>
    <col min="14348" max="14348" width="7.140625" style="866" customWidth="1"/>
    <col min="14349" max="14349" width="6.7109375" style="866" customWidth="1"/>
    <col min="14350" max="14350" width="8" style="866" customWidth="1"/>
    <col min="14351" max="14351" width="8.42578125" style="866" customWidth="1"/>
    <col min="14352" max="14352" width="10.5703125" style="866" customWidth="1"/>
    <col min="14353" max="14353" width="7.140625" style="866" customWidth="1"/>
    <col min="14354" max="14354" width="8.85546875" style="866" customWidth="1"/>
    <col min="14355" max="14355" width="7.140625" style="866" customWidth="1"/>
    <col min="14356" max="14360" width="9.140625" style="866"/>
    <col min="14361" max="14361" width="8.140625" style="866" customWidth="1"/>
    <col min="14362" max="14365" width="9.140625" style="866"/>
    <col min="14366" max="14366" width="28.5703125" style="866" bestFit="1" customWidth="1"/>
    <col min="14367" max="14592" width="9.140625" style="866"/>
    <col min="14593" max="14593" width="5.85546875" style="866" customWidth="1"/>
    <col min="14594" max="14594" width="50" style="866" customWidth="1"/>
    <col min="14595" max="14595" width="10.7109375" style="866" customWidth="1"/>
    <col min="14596" max="14596" width="7.140625" style="866" customWidth="1"/>
    <col min="14597" max="14597" width="9.28515625" style="866" customWidth="1"/>
    <col min="14598" max="14603" width="9.140625" style="866" customWidth="1"/>
    <col min="14604" max="14604" width="7.140625" style="866" customWidth="1"/>
    <col min="14605" max="14605" width="6.7109375" style="866" customWidth="1"/>
    <col min="14606" max="14606" width="8" style="866" customWidth="1"/>
    <col min="14607" max="14607" width="8.42578125" style="866" customWidth="1"/>
    <col min="14608" max="14608" width="10.5703125" style="866" customWidth="1"/>
    <col min="14609" max="14609" width="7.140625" style="866" customWidth="1"/>
    <col min="14610" max="14610" width="8.85546875" style="866" customWidth="1"/>
    <col min="14611" max="14611" width="7.140625" style="866" customWidth="1"/>
    <col min="14612" max="14616" width="9.140625" style="866"/>
    <col min="14617" max="14617" width="8.140625" style="866" customWidth="1"/>
    <col min="14618" max="14621" width="9.140625" style="866"/>
    <col min="14622" max="14622" width="28.5703125" style="866" bestFit="1" customWidth="1"/>
    <col min="14623" max="14848" width="9.140625" style="866"/>
    <col min="14849" max="14849" width="5.85546875" style="866" customWidth="1"/>
    <col min="14850" max="14850" width="50" style="866" customWidth="1"/>
    <col min="14851" max="14851" width="10.7109375" style="866" customWidth="1"/>
    <col min="14852" max="14852" width="7.140625" style="866" customWidth="1"/>
    <col min="14853" max="14853" width="9.28515625" style="866" customWidth="1"/>
    <col min="14854" max="14859" width="9.140625" style="866" customWidth="1"/>
    <col min="14860" max="14860" width="7.140625" style="866" customWidth="1"/>
    <col min="14861" max="14861" width="6.7109375" style="866" customWidth="1"/>
    <col min="14862" max="14862" width="8" style="866" customWidth="1"/>
    <col min="14863" max="14863" width="8.42578125" style="866" customWidth="1"/>
    <col min="14864" max="14864" width="10.5703125" style="866" customWidth="1"/>
    <col min="14865" max="14865" width="7.140625" style="866" customWidth="1"/>
    <col min="14866" max="14866" width="8.85546875" style="866" customWidth="1"/>
    <col min="14867" max="14867" width="7.140625" style="866" customWidth="1"/>
    <col min="14868" max="14872" width="9.140625" style="866"/>
    <col min="14873" max="14873" width="8.140625" style="866" customWidth="1"/>
    <col min="14874" max="14877" width="9.140625" style="866"/>
    <col min="14878" max="14878" width="28.5703125" style="866" bestFit="1" customWidth="1"/>
    <col min="14879" max="15104" width="9.140625" style="866"/>
    <col min="15105" max="15105" width="5.85546875" style="866" customWidth="1"/>
    <col min="15106" max="15106" width="50" style="866" customWidth="1"/>
    <col min="15107" max="15107" width="10.7109375" style="866" customWidth="1"/>
    <col min="15108" max="15108" width="7.140625" style="866" customWidth="1"/>
    <col min="15109" max="15109" width="9.28515625" style="866" customWidth="1"/>
    <col min="15110" max="15115" width="9.140625" style="866" customWidth="1"/>
    <col min="15116" max="15116" width="7.140625" style="866" customWidth="1"/>
    <col min="15117" max="15117" width="6.7109375" style="866" customWidth="1"/>
    <col min="15118" max="15118" width="8" style="866" customWidth="1"/>
    <col min="15119" max="15119" width="8.42578125" style="866" customWidth="1"/>
    <col min="15120" max="15120" width="10.5703125" style="866" customWidth="1"/>
    <col min="15121" max="15121" width="7.140625" style="866" customWidth="1"/>
    <col min="15122" max="15122" width="8.85546875" style="866" customWidth="1"/>
    <col min="15123" max="15123" width="7.140625" style="866" customWidth="1"/>
    <col min="15124" max="15128" width="9.140625" style="866"/>
    <col min="15129" max="15129" width="8.140625" style="866" customWidth="1"/>
    <col min="15130" max="15133" width="9.140625" style="866"/>
    <col min="15134" max="15134" width="28.5703125" style="866" bestFit="1" customWidth="1"/>
    <col min="15135" max="15360" width="9.140625" style="866"/>
    <col min="15361" max="15361" width="5.85546875" style="866" customWidth="1"/>
    <col min="15362" max="15362" width="50" style="866" customWidth="1"/>
    <col min="15363" max="15363" width="10.7109375" style="866" customWidth="1"/>
    <col min="15364" max="15364" width="7.140625" style="866" customWidth="1"/>
    <col min="15365" max="15365" width="9.28515625" style="866" customWidth="1"/>
    <col min="15366" max="15371" width="9.140625" style="866" customWidth="1"/>
    <col min="15372" max="15372" width="7.140625" style="866" customWidth="1"/>
    <col min="15373" max="15373" width="6.7109375" style="866" customWidth="1"/>
    <col min="15374" max="15374" width="8" style="866" customWidth="1"/>
    <col min="15375" max="15375" width="8.42578125" style="866" customWidth="1"/>
    <col min="15376" max="15376" width="10.5703125" style="866" customWidth="1"/>
    <col min="15377" max="15377" width="7.140625" style="866" customWidth="1"/>
    <col min="15378" max="15378" width="8.85546875" style="866" customWidth="1"/>
    <col min="15379" max="15379" width="7.140625" style="866" customWidth="1"/>
    <col min="15380" max="15384" width="9.140625" style="866"/>
    <col min="15385" max="15385" width="8.140625" style="866" customWidth="1"/>
    <col min="15386" max="15389" width="9.140625" style="866"/>
    <col min="15390" max="15390" width="28.5703125" style="866" bestFit="1" customWidth="1"/>
    <col min="15391" max="15616" width="9.140625" style="866"/>
    <col min="15617" max="15617" width="5.85546875" style="866" customWidth="1"/>
    <col min="15618" max="15618" width="50" style="866" customWidth="1"/>
    <col min="15619" max="15619" width="10.7109375" style="866" customWidth="1"/>
    <col min="15620" max="15620" width="7.140625" style="866" customWidth="1"/>
    <col min="15621" max="15621" width="9.28515625" style="866" customWidth="1"/>
    <col min="15622" max="15627" width="9.140625" style="866" customWidth="1"/>
    <col min="15628" max="15628" width="7.140625" style="866" customWidth="1"/>
    <col min="15629" max="15629" width="6.7109375" style="866" customWidth="1"/>
    <col min="15630" max="15630" width="8" style="866" customWidth="1"/>
    <col min="15631" max="15631" width="8.42578125" style="866" customWidth="1"/>
    <col min="15632" max="15632" width="10.5703125" style="866" customWidth="1"/>
    <col min="15633" max="15633" width="7.140625" style="866" customWidth="1"/>
    <col min="15634" max="15634" width="8.85546875" style="866" customWidth="1"/>
    <col min="15635" max="15635" width="7.140625" style="866" customWidth="1"/>
    <col min="15636" max="15640" width="9.140625" style="866"/>
    <col min="15641" max="15641" width="8.140625" style="866" customWidth="1"/>
    <col min="15642" max="15645" width="9.140625" style="866"/>
    <col min="15646" max="15646" width="28.5703125" style="866" bestFit="1" customWidth="1"/>
    <col min="15647" max="15872" width="9.140625" style="866"/>
    <col min="15873" max="15873" width="5.85546875" style="866" customWidth="1"/>
    <col min="15874" max="15874" width="50" style="866" customWidth="1"/>
    <col min="15875" max="15875" width="10.7109375" style="866" customWidth="1"/>
    <col min="15876" max="15876" width="7.140625" style="866" customWidth="1"/>
    <col min="15877" max="15877" width="9.28515625" style="866" customWidth="1"/>
    <col min="15878" max="15883" width="9.140625" style="866" customWidth="1"/>
    <col min="15884" max="15884" width="7.140625" style="866" customWidth="1"/>
    <col min="15885" max="15885" width="6.7109375" style="866" customWidth="1"/>
    <col min="15886" max="15886" width="8" style="866" customWidth="1"/>
    <col min="15887" max="15887" width="8.42578125" style="866" customWidth="1"/>
    <col min="15888" max="15888" width="10.5703125" style="866" customWidth="1"/>
    <col min="15889" max="15889" width="7.140625" style="866" customWidth="1"/>
    <col min="15890" max="15890" width="8.85546875" style="866" customWidth="1"/>
    <col min="15891" max="15891" width="7.140625" style="866" customWidth="1"/>
    <col min="15892" max="15896" width="9.140625" style="866"/>
    <col min="15897" max="15897" width="8.140625" style="866" customWidth="1"/>
    <col min="15898" max="15901" width="9.140625" style="866"/>
    <col min="15902" max="15902" width="28.5703125" style="866" bestFit="1" customWidth="1"/>
    <col min="15903" max="16128" width="9.140625" style="866"/>
    <col min="16129" max="16129" width="5.85546875" style="866" customWidth="1"/>
    <col min="16130" max="16130" width="50" style="866" customWidth="1"/>
    <col min="16131" max="16131" width="10.7109375" style="866" customWidth="1"/>
    <col min="16132" max="16132" width="7.140625" style="866" customWidth="1"/>
    <col min="16133" max="16133" width="9.28515625" style="866" customWidth="1"/>
    <col min="16134" max="16139" width="9.140625" style="866" customWidth="1"/>
    <col min="16140" max="16140" width="7.140625" style="866" customWidth="1"/>
    <col min="16141" max="16141" width="6.7109375" style="866" customWidth="1"/>
    <col min="16142" max="16142" width="8" style="866" customWidth="1"/>
    <col min="16143" max="16143" width="8.42578125" style="866" customWidth="1"/>
    <col min="16144" max="16144" width="10.5703125" style="866" customWidth="1"/>
    <col min="16145" max="16145" width="7.140625" style="866" customWidth="1"/>
    <col min="16146" max="16146" width="8.85546875" style="866" customWidth="1"/>
    <col min="16147" max="16147" width="7.140625" style="866" customWidth="1"/>
    <col min="16148" max="16152" width="9.140625" style="866"/>
    <col min="16153" max="16153" width="8.140625" style="866" customWidth="1"/>
    <col min="16154" max="16157" width="9.140625" style="866"/>
    <col min="16158" max="16158" width="28.5703125" style="866" bestFit="1" customWidth="1"/>
    <col min="16159" max="16384" width="9.140625" style="866"/>
  </cols>
  <sheetData>
    <row r="1" spans="1:26" s="1292" customFormat="1" ht="24" customHeight="1">
      <c r="A1" s="1289"/>
      <c r="B1" s="1290" t="s">
        <v>962</v>
      </c>
      <c r="C1" s="1291"/>
      <c r="D1" s="1291"/>
      <c r="J1" s="1293"/>
      <c r="K1" s="1293"/>
      <c r="W1" s="1294"/>
    </row>
    <row r="2" spans="1:26" s="1292" customFormat="1" ht="10.5" customHeight="1">
      <c r="A2" s="1289"/>
      <c r="B2" s="1295"/>
      <c r="C2" s="1295"/>
      <c r="D2" s="1295"/>
      <c r="E2" s="1296"/>
      <c r="F2" s="1296"/>
      <c r="G2" s="1296"/>
      <c r="H2" s="1296"/>
      <c r="I2" s="1296"/>
      <c r="J2" s="1293"/>
      <c r="K2" s="1293"/>
      <c r="W2" s="1294"/>
    </row>
    <row r="3" spans="1:26" s="1278" customFormat="1" ht="18.75" customHeight="1">
      <c r="A3" s="1297" t="s">
        <v>250</v>
      </c>
      <c r="B3" s="1297" t="s">
        <v>1377</v>
      </c>
      <c r="C3" s="1298" t="s">
        <v>1080</v>
      </c>
      <c r="D3" s="1298"/>
      <c r="E3" s="1297"/>
      <c r="F3" s="1297"/>
      <c r="G3" s="1299"/>
      <c r="W3" s="1300"/>
    </row>
    <row r="4" spans="1:26" s="1292" customFormat="1" ht="6" customHeight="1">
      <c r="A4" s="1291"/>
      <c r="B4" s="1291"/>
      <c r="C4" s="1291"/>
      <c r="D4" s="1291"/>
      <c r="E4" s="1291"/>
      <c r="F4" s="1291"/>
      <c r="G4" s="1289"/>
      <c r="W4" s="1294"/>
    </row>
    <row r="5" spans="1:26" s="1302" customFormat="1" ht="21" customHeight="1" thickBot="1">
      <c r="A5" s="1290" t="s">
        <v>246</v>
      </c>
      <c r="B5" s="1290" t="s">
        <v>1378</v>
      </c>
      <c r="C5" s="1290"/>
      <c r="D5" s="1290"/>
      <c r="E5" s="1301"/>
      <c r="F5" s="1301"/>
      <c r="G5" s="1301"/>
      <c r="W5" s="1303"/>
    </row>
    <row r="6" spans="1:26" ht="42" customHeight="1" thickBot="1">
      <c r="A6" s="860" t="s">
        <v>244</v>
      </c>
      <c r="B6" s="861" t="s">
        <v>647</v>
      </c>
      <c r="C6" s="1076" t="s">
        <v>270</v>
      </c>
      <c r="D6" s="862" t="s">
        <v>1394</v>
      </c>
      <c r="E6" s="863" t="s">
        <v>1395</v>
      </c>
      <c r="F6" s="864" t="s">
        <v>1396</v>
      </c>
      <c r="G6" s="864" t="s">
        <v>1397</v>
      </c>
      <c r="H6" s="864" t="s">
        <v>1398</v>
      </c>
      <c r="I6" s="864" t="s">
        <v>1399</v>
      </c>
      <c r="J6" s="864" t="s">
        <v>1400</v>
      </c>
      <c r="K6" s="864" t="s">
        <v>1401</v>
      </c>
      <c r="L6" s="863" t="s">
        <v>1402</v>
      </c>
      <c r="M6" s="864" t="s">
        <v>1403</v>
      </c>
      <c r="N6" s="864" t="s">
        <v>1404</v>
      </c>
      <c r="O6" s="864" t="s">
        <v>1405</v>
      </c>
      <c r="P6" s="864" t="s">
        <v>1406</v>
      </c>
      <c r="Q6" s="864" t="s">
        <v>1407</v>
      </c>
      <c r="R6" s="864" t="s">
        <v>1408</v>
      </c>
      <c r="S6" s="865" t="s">
        <v>1409</v>
      </c>
      <c r="V6" s="867" t="s">
        <v>1063</v>
      </c>
    </row>
    <row r="7" spans="1:26" s="1292" customFormat="1" ht="16.5" thickBot="1">
      <c r="A7" s="1304"/>
      <c r="B7" s="1305" t="s">
        <v>648</v>
      </c>
      <c r="C7" s="1306"/>
      <c r="D7" s="1307"/>
      <c r="E7" s="1307"/>
      <c r="F7" s="1307"/>
      <c r="G7" s="1307"/>
      <c r="H7" s="1307"/>
      <c r="I7" s="1307"/>
      <c r="J7" s="1307"/>
      <c r="K7" s="1307"/>
      <c r="L7" s="1308"/>
      <c r="M7" s="1307"/>
      <c r="N7" s="1307"/>
      <c r="O7" s="1307"/>
      <c r="P7" s="1307"/>
      <c r="Q7" s="1307"/>
      <c r="R7" s="1309"/>
      <c r="S7" s="1310"/>
      <c r="V7" s="1294"/>
    </row>
    <row r="8" spans="1:26" s="1292" customFormat="1" ht="15.75">
      <c r="A8" s="1311">
        <v>1</v>
      </c>
      <c r="B8" s="1312" t="s">
        <v>649</v>
      </c>
      <c r="C8" s="1313" t="s">
        <v>590</v>
      </c>
      <c r="D8" s="1314">
        <f>D9+D13</f>
        <v>28.971699999999998</v>
      </c>
      <c r="E8" s="1315">
        <f>L8+S8</f>
        <v>28.991999999999997</v>
      </c>
      <c r="F8" s="1316">
        <f t="shared" ref="F8:K8" si="0">F9+F13</f>
        <v>2.8973999999999998</v>
      </c>
      <c r="G8" s="1316">
        <f t="shared" si="0"/>
        <v>2.6131000000000002</v>
      </c>
      <c r="H8" s="1316">
        <f t="shared" si="0"/>
        <v>2.4883999999999999</v>
      </c>
      <c r="I8" s="1316">
        <f t="shared" si="0"/>
        <v>2.4356</v>
      </c>
      <c r="J8" s="1316">
        <f t="shared" si="0"/>
        <v>2.2052999999999998</v>
      </c>
      <c r="K8" s="1316">
        <f t="shared" si="0"/>
        <v>1.8562000000000001</v>
      </c>
      <c r="L8" s="1317">
        <f>SUM(F8:K8)</f>
        <v>14.495999999999999</v>
      </c>
      <c r="M8" s="1316">
        <f t="shared" ref="M8:R8" si="1">M9+M13</f>
        <v>1.8562000000000001</v>
      </c>
      <c r="N8" s="1316">
        <f t="shared" si="1"/>
        <v>2.2052999999999998</v>
      </c>
      <c r="O8" s="1316">
        <f t="shared" si="1"/>
        <v>2.4356</v>
      </c>
      <c r="P8" s="1316">
        <f t="shared" si="1"/>
        <v>2.4883999999999999</v>
      </c>
      <c r="Q8" s="1316">
        <f t="shared" si="1"/>
        <v>2.6131000000000002</v>
      </c>
      <c r="R8" s="1316">
        <f t="shared" si="1"/>
        <v>2.8973999999999998</v>
      </c>
      <c r="S8" s="1318">
        <f>SUM(M8:R8)</f>
        <v>14.496</v>
      </c>
      <c r="V8" s="1294" t="str">
        <f>IF(SUM(F8:K8,M8:R8)=E8,"Ок","Ошибка")</f>
        <v>Ок</v>
      </c>
    </row>
    <row r="9" spans="1:26" s="1292" customFormat="1" ht="16.5" customHeight="1">
      <c r="A9" s="1319">
        <v>2</v>
      </c>
      <c r="B9" s="1320" t="s">
        <v>650</v>
      </c>
      <c r="C9" s="1321" t="s">
        <v>590</v>
      </c>
      <c r="D9" s="1322">
        <f>D10+D11</f>
        <v>6.9882</v>
      </c>
      <c r="E9" s="1323">
        <f>L9+S9</f>
        <v>5.6967999999999996</v>
      </c>
      <c r="F9" s="1324">
        <f t="shared" ref="F9:K9" si="2">F10+F11</f>
        <v>0.71499999999999997</v>
      </c>
      <c r="G9" s="1324">
        <f t="shared" si="2"/>
        <v>0.61909999999999998</v>
      </c>
      <c r="H9" s="1324">
        <f t="shared" si="2"/>
        <v>0.56499999999999995</v>
      </c>
      <c r="I9" s="1324">
        <f t="shared" si="2"/>
        <v>0.50490000000000002</v>
      </c>
      <c r="J9" s="1324">
        <f t="shared" si="2"/>
        <v>0.26119999999999999</v>
      </c>
      <c r="K9" s="1324">
        <f t="shared" si="2"/>
        <v>0.1832</v>
      </c>
      <c r="L9" s="1325">
        <f>SUM(F9:K9)</f>
        <v>2.8483999999999998</v>
      </c>
      <c r="M9" s="1324">
        <f t="shared" ref="M9:R9" si="3">M10+M11</f>
        <v>0.1832</v>
      </c>
      <c r="N9" s="1324">
        <f t="shared" si="3"/>
        <v>0.26119999999999999</v>
      </c>
      <c r="O9" s="1324">
        <f t="shared" si="3"/>
        <v>0.50490000000000002</v>
      </c>
      <c r="P9" s="1324">
        <f t="shared" si="3"/>
        <v>0.56499999999999995</v>
      </c>
      <c r="Q9" s="1324">
        <f t="shared" si="3"/>
        <v>0.61909999999999998</v>
      </c>
      <c r="R9" s="1324">
        <f t="shared" si="3"/>
        <v>0.71499999999999997</v>
      </c>
      <c r="S9" s="1326">
        <f>SUM(M9:R9)</f>
        <v>2.8483999999999998</v>
      </c>
      <c r="V9" s="1294" t="str">
        <f>IF(SUM(F9:K9,M9:R9)=E9,"Ок","Ошибка")</f>
        <v>Ок</v>
      </c>
      <c r="Y9" s="1292">
        <f>L9*Z9</f>
        <v>1.006743938665476</v>
      </c>
      <c r="Z9" s="1292">
        <f>Q73</f>
        <v>0.35344191077990311</v>
      </c>
    </row>
    <row r="10" spans="1:26" s="1292" customFormat="1" ht="15.75">
      <c r="A10" s="1319" t="s">
        <v>247</v>
      </c>
      <c r="B10" s="1320" t="s">
        <v>651</v>
      </c>
      <c r="C10" s="1321" t="s">
        <v>590</v>
      </c>
      <c r="D10" s="1327"/>
      <c r="E10" s="1323">
        <f>L10+S10</f>
        <v>0</v>
      </c>
      <c r="F10" s="1328"/>
      <c r="G10" s="1328"/>
      <c r="H10" s="1328"/>
      <c r="I10" s="1328"/>
      <c r="J10" s="1328"/>
      <c r="K10" s="1328"/>
      <c r="L10" s="1325">
        <f>SUM(F10:K10)</f>
        <v>0</v>
      </c>
      <c r="M10" s="1328"/>
      <c r="N10" s="1328"/>
      <c r="O10" s="1328"/>
      <c r="P10" s="1328"/>
      <c r="Q10" s="1328"/>
      <c r="R10" s="1328"/>
      <c r="S10" s="1326">
        <f>SUM(M10:R10)</f>
        <v>0</v>
      </c>
      <c r="V10" s="1294" t="str">
        <f t="shared" ref="V10:V15" si="4">IF(SUM(F10:K10,M10:R10)=E10,"Ок","Ошибка")</f>
        <v>Ок</v>
      </c>
    </row>
    <row r="11" spans="1:26" s="1292" customFormat="1" ht="16.5" customHeight="1">
      <c r="A11" s="1319" t="s">
        <v>248</v>
      </c>
      <c r="B11" s="1320" t="s">
        <v>652</v>
      </c>
      <c r="C11" s="1321" t="s">
        <v>590</v>
      </c>
      <c r="D11" s="1329">
        <f>ROUND(6.988172994,4)</f>
        <v>6.9882</v>
      </c>
      <c r="E11" s="1323">
        <f>L11+S11</f>
        <v>5.6967999999999996</v>
      </c>
      <c r="F11" s="1328">
        <f>ROUND(0.715038442616645,4)</f>
        <v>0.71499999999999997</v>
      </c>
      <c r="G11" s="1328">
        <f>ROUND(0.619082030864048,4)</f>
        <v>0.61909999999999998</v>
      </c>
      <c r="H11" s="1328">
        <f>ROUND(0.564974642009622,4)</f>
        <v>0.56499999999999995</v>
      </c>
      <c r="I11" s="1328">
        <f>ROUND(0.504900949093382,4)</f>
        <v>0.50490000000000002</v>
      </c>
      <c r="J11" s="1328">
        <f>ROUND(0.261234090288256,4)</f>
        <v>0.26119999999999999</v>
      </c>
      <c r="K11" s="1328">
        <f>ROUND(0.183233845128048,4)</f>
        <v>0.1832</v>
      </c>
      <c r="L11" s="1325">
        <f>SUM(F11:K11)</f>
        <v>2.8483999999999998</v>
      </c>
      <c r="M11" s="1328">
        <f>K11</f>
        <v>0.1832</v>
      </c>
      <c r="N11" s="1328">
        <f>J11</f>
        <v>0.26119999999999999</v>
      </c>
      <c r="O11" s="1328">
        <f>I11</f>
        <v>0.50490000000000002</v>
      </c>
      <c r="P11" s="1328">
        <f>H11</f>
        <v>0.56499999999999995</v>
      </c>
      <c r="Q11" s="1328">
        <f>G11</f>
        <v>0.61909999999999998</v>
      </c>
      <c r="R11" s="1328">
        <f>F11</f>
        <v>0.71499999999999997</v>
      </c>
      <c r="S11" s="1326">
        <f>SUM(M11:R11)</f>
        <v>2.8483999999999998</v>
      </c>
      <c r="V11" s="1294" t="str">
        <f t="shared" si="4"/>
        <v>Ок</v>
      </c>
    </row>
    <row r="12" spans="1:26" s="1292" customFormat="1" ht="15.75">
      <c r="A12" s="1319">
        <v>3</v>
      </c>
      <c r="B12" s="1330" t="s">
        <v>653</v>
      </c>
      <c r="C12" s="1331" t="s">
        <v>283</v>
      </c>
      <c r="D12" s="1332">
        <f>D9/D8</f>
        <v>0.24120779933521333</v>
      </c>
      <c r="E12" s="1333">
        <f>E9/E8</f>
        <v>0.19649558498896247</v>
      </c>
      <c r="F12" s="1333">
        <f t="shared" ref="F12:R12" si="5">F9/F8</f>
        <v>0.24677296886864086</v>
      </c>
      <c r="G12" s="1333">
        <f t="shared" si="5"/>
        <v>0.23692166392407482</v>
      </c>
      <c r="H12" s="1333">
        <f t="shared" si="5"/>
        <v>0.22705352837164441</v>
      </c>
      <c r="I12" s="1333">
        <f t="shared" si="5"/>
        <v>0.20730004926917392</v>
      </c>
      <c r="J12" s="1333">
        <f t="shared" si="5"/>
        <v>0.1184419353375958</v>
      </c>
      <c r="K12" s="1333">
        <f t="shared" si="5"/>
        <v>9.8696261178752284E-2</v>
      </c>
      <c r="L12" s="1334">
        <f t="shared" si="5"/>
        <v>0.19649558498896247</v>
      </c>
      <c r="M12" s="1333">
        <f t="shared" si="5"/>
        <v>9.8696261178752284E-2</v>
      </c>
      <c r="N12" s="1333">
        <f t="shared" si="5"/>
        <v>0.1184419353375958</v>
      </c>
      <c r="O12" s="1333">
        <f t="shared" si="5"/>
        <v>0.20730004926917392</v>
      </c>
      <c r="P12" s="1333">
        <f t="shared" si="5"/>
        <v>0.22705352837164441</v>
      </c>
      <c r="Q12" s="1333">
        <f t="shared" si="5"/>
        <v>0.23692166392407482</v>
      </c>
      <c r="R12" s="1333">
        <f t="shared" si="5"/>
        <v>0.24677296886864086</v>
      </c>
      <c r="S12" s="1501">
        <f>S9/S8</f>
        <v>0.19649558498896244</v>
      </c>
      <c r="V12" s="1294"/>
      <c r="Y12" s="1292">
        <f>L11*Z12</f>
        <v>1.8416560613345236</v>
      </c>
      <c r="Z12" s="1292">
        <f t="shared" ref="Z12" si="6">Q76</f>
        <v>0.64655808922009683</v>
      </c>
    </row>
    <row r="13" spans="1:26" s="1292" customFormat="1" ht="15.75">
      <c r="A13" s="1319">
        <v>4</v>
      </c>
      <c r="B13" s="1330" t="s">
        <v>654</v>
      </c>
      <c r="C13" s="1321" t="s">
        <v>590</v>
      </c>
      <c r="D13" s="1322">
        <f>D14+D15</f>
        <v>21.983499999999999</v>
      </c>
      <c r="E13" s="1323">
        <f>L13+S13</f>
        <v>23.295200000000001</v>
      </c>
      <c r="F13" s="1323">
        <f t="shared" ref="F13:K13" si="7">F14+F15</f>
        <v>2.1823999999999999</v>
      </c>
      <c r="G13" s="1323">
        <f t="shared" si="7"/>
        <v>1.994</v>
      </c>
      <c r="H13" s="1323">
        <f t="shared" si="7"/>
        <v>1.9234</v>
      </c>
      <c r="I13" s="1323">
        <f t="shared" si="7"/>
        <v>1.9307000000000001</v>
      </c>
      <c r="J13" s="1323">
        <f t="shared" si="7"/>
        <v>1.9440999999999999</v>
      </c>
      <c r="K13" s="1323">
        <f t="shared" si="7"/>
        <v>1.673</v>
      </c>
      <c r="L13" s="1325">
        <f>SUM(F13:K13)</f>
        <v>11.647600000000001</v>
      </c>
      <c r="M13" s="1323">
        <f t="shared" ref="M13:R13" si="8">M14+M15</f>
        <v>1.673</v>
      </c>
      <c r="N13" s="1323">
        <f t="shared" si="8"/>
        <v>1.9440999999999999</v>
      </c>
      <c r="O13" s="1323">
        <f t="shared" si="8"/>
        <v>1.9307000000000001</v>
      </c>
      <c r="P13" s="1323">
        <f t="shared" si="8"/>
        <v>1.9234</v>
      </c>
      <c r="Q13" s="1323">
        <f t="shared" si="8"/>
        <v>1.994</v>
      </c>
      <c r="R13" s="1323">
        <f t="shared" si="8"/>
        <v>2.1823999999999999</v>
      </c>
      <c r="S13" s="1326">
        <f>SUM(M13:R13)</f>
        <v>11.647599999999999</v>
      </c>
      <c r="V13" s="1294" t="str">
        <f t="shared" si="4"/>
        <v>Ок</v>
      </c>
      <c r="Z13" s="1508"/>
    </row>
    <row r="14" spans="1:26" s="1292" customFormat="1" ht="15.75">
      <c r="A14" s="1319" t="s">
        <v>303</v>
      </c>
      <c r="B14" s="1330" t="s">
        <v>655</v>
      </c>
      <c r="C14" s="1321" t="s">
        <v>590</v>
      </c>
      <c r="D14" s="1327"/>
      <c r="E14" s="1323">
        <f>L14+S14</f>
        <v>0</v>
      </c>
      <c r="F14" s="1328"/>
      <c r="G14" s="1328"/>
      <c r="H14" s="1328"/>
      <c r="I14" s="1328"/>
      <c r="J14" s="1328"/>
      <c r="K14" s="1328"/>
      <c r="L14" s="1325">
        <f>SUM(F14:K14)</f>
        <v>0</v>
      </c>
      <c r="M14" s="1328"/>
      <c r="N14" s="1328"/>
      <c r="O14" s="1328"/>
      <c r="P14" s="1328"/>
      <c r="Q14" s="1328"/>
      <c r="R14" s="1328"/>
      <c r="S14" s="1326">
        <f>SUM(M14:R14)</f>
        <v>0</v>
      </c>
      <c r="V14" s="1294" t="str">
        <f t="shared" si="4"/>
        <v>Ок</v>
      </c>
    </row>
    <row r="15" spans="1:26" s="1292" customFormat="1" ht="15" customHeight="1">
      <c r="A15" s="1319" t="s">
        <v>304</v>
      </c>
      <c r="B15" s="1330" t="s">
        <v>963</v>
      </c>
      <c r="C15" s="1321" t="s">
        <v>590</v>
      </c>
      <c r="D15" s="1335">
        <f>ROUND(21.983502,4)</f>
        <v>21.983499999999999</v>
      </c>
      <c r="E15" s="1323">
        <f>L15+S15</f>
        <v>23.295200000000001</v>
      </c>
      <c r="F15" s="1336">
        <f>ROUND(2.18236155738336,4)</f>
        <v>2.1823999999999999</v>
      </c>
      <c r="G15" s="1336">
        <f>ROUND(1.99401796913595,4)</f>
        <v>1.994</v>
      </c>
      <c r="H15" s="1336">
        <f>ROUND(1.92342535799038,4)</f>
        <v>1.9234</v>
      </c>
      <c r="I15" s="1336">
        <f>ROUND(1.93069905090662,4)</f>
        <v>1.9307000000000001</v>
      </c>
      <c r="J15" s="1336">
        <f>ROUND(1.94406590971174,4)</f>
        <v>1.9440999999999999</v>
      </c>
      <c r="K15" s="1336">
        <f>ROUND(1.67296615487195,4)</f>
        <v>1.673</v>
      </c>
      <c r="L15" s="1325">
        <f>SUM(F15:K15)</f>
        <v>11.647600000000001</v>
      </c>
      <c r="M15" s="1336">
        <f>K15</f>
        <v>1.673</v>
      </c>
      <c r="N15" s="1336">
        <f>J15</f>
        <v>1.9440999999999999</v>
      </c>
      <c r="O15" s="1336">
        <f>I15</f>
        <v>1.9307000000000001</v>
      </c>
      <c r="P15" s="1336">
        <f>H15</f>
        <v>1.9234</v>
      </c>
      <c r="Q15" s="1336">
        <f>G15</f>
        <v>1.994</v>
      </c>
      <c r="R15" s="1336">
        <f>F15</f>
        <v>2.1823999999999999</v>
      </c>
      <c r="S15" s="1326">
        <f>SUM(M15:R15)</f>
        <v>11.647599999999999</v>
      </c>
      <c r="V15" s="1294" t="str">
        <f t="shared" si="4"/>
        <v>Ок</v>
      </c>
    </row>
    <row r="16" spans="1:26" s="1292" customFormat="1" ht="16.5" thickBot="1">
      <c r="A16" s="1337" t="s">
        <v>964</v>
      </c>
      <c r="B16" s="1338" t="s">
        <v>1379</v>
      </c>
      <c r="C16" s="1339" t="s">
        <v>590</v>
      </c>
      <c r="D16" s="1340"/>
      <c r="E16" s="1323">
        <f>L16+S16</f>
        <v>0</v>
      </c>
      <c r="F16" s="1341"/>
      <c r="G16" s="1342"/>
      <c r="H16" s="1342"/>
      <c r="I16" s="1342"/>
      <c r="J16" s="1342"/>
      <c r="K16" s="1342"/>
      <c r="L16" s="1343">
        <f>SUM(F16:K16)</f>
        <v>0</v>
      </c>
      <c r="M16" s="1342"/>
      <c r="N16" s="1342"/>
      <c r="O16" s="1342"/>
      <c r="P16" s="1342"/>
      <c r="Q16" s="1342"/>
      <c r="R16" s="1342"/>
      <c r="S16" s="1344">
        <f>SUM(M16:R16)</f>
        <v>0</v>
      </c>
      <c r="V16" s="1294" t="str">
        <f>IF(SUM(F16:K16,M16:R16)=E16,"Ок","Ошибка")</f>
        <v>Ок</v>
      </c>
    </row>
    <row r="17" spans="1:24" s="1292" customFormat="1" ht="16.5" thickBot="1">
      <c r="A17" s="1304"/>
      <c r="B17" s="1305" t="s">
        <v>965</v>
      </c>
      <c r="C17" s="1345"/>
      <c r="D17" s="1346"/>
      <c r="E17" s="1347"/>
      <c r="F17" s="1347"/>
      <c r="G17" s="1347"/>
      <c r="H17" s="1347"/>
      <c r="I17" s="1347"/>
      <c r="J17" s="1347"/>
      <c r="K17" s="1347"/>
      <c r="L17" s="1348"/>
      <c r="M17" s="1347"/>
      <c r="N17" s="1347"/>
      <c r="O17" s="1347"/>
      <c r="P17" s="1347"/>
      <c r="Q17" s="1347"/>
      <c r="R17" s="1347"/>
      <c r="S17" s="1349"/>
      <c r="V17" s="1294"/>
    </row>
    <row r="18" spans="1:24" s="1292" customFormat="1" ht="15.75">
      <c r="A18" s="1311">
        <v>5</v>
      </c>
      <c r="B18" s="1350" t="s">
        <v>649</v>
      </c>
      <c r="C18" s="1351" t="s">
        <v>794</v>
      </c>
      <c r="D18" s="1352">
        <f>D19+D23</f>
        <v>5.2675000000000001</v>
      </c>
      <c r="E18" s="1353">
        <f>ROUND((L18+S18)/2,4)</f>
        <v>5.2713000000000001</v>
      </c>
      <c r="F18" s="1354">
        <f t="shared" ref="F18:K18" si="9">F19+F23</f>
        <v>6.3216000000000001</v>
      </c>
      <c r="G18" s="1354">
        <f t="shared" si="9"/>
        <v>5.7012999999999998</v>
      </c>
      <c r="H18" s="1354">
        <f>H19+H23</f>
        <v>5.4292999999999996</v>
      </c>
      <c r="I18" s="1354">
        <f t="shared" si="9"/>
        <v>5.3140000000000001</v>
      </c>
      <c r="J18" s="1354">
        <f t="shared" si="9"/>
        <v>4.8116000000000003</v>
      </c>
      <c r="K18" s="1354">
        <f t="shared" si="9"/>
        <v>4.0499000000000001</v>
      </c>
      <c r="L18" s="1326">
        <f>ROUND(SUM(F18:K18)/6,4)</f>
        <v>5.2713000000000001</v>
      </c>
      <c r="M18" s="1354">
        <f t="shared" ref="M18:R18" si="10">M19+M23</f>
        <v>4.0499000000000001</v>
      </c>
      <c r="N18" s="1354">
        <f t="shared" si="10"/>
        <v>4.8116000000000003</v>
      </c>
      <c r="O18" s="1354">
        <f t="shared" si="10"/>
        <v>5.3140000000000001</v>
      </c>
      <c r="P18" s="1354">
        <f t="shared" si="10"/>
        <v>5.4292999999999996</v>
      </c>
      <c r="Q18" s="1354">
        <f t="shared" si="10"/>
        <v>5.7012999999999998</v>
      </c>
      <c r="R18" s="1354">
        <f t="shared" si="10"/>
        <v>6.3216000000000001</v>
      </c>
      <c r="S18" s="1326">
        <f>ROUND(SUM(M18:R18)/6,4)</f>
        <v>5.2713000000000001</v>
      </c>
      <c r="V18" s="1355" t="str">
        <f>IF(ROUND(AVERAGE(F18:K18,M18:R18),4)=E18,"Ок","Ошибка")</f>
        <v>Ок</v>
      </c>
      <c r="W18" s="1355" t="s">
        <v>1380</v>
      </c>
      <c r="X18" s="1356"/>
    </row>
    <row r="19" spans="1:24" s="1292" customFormat="1" ht="31.5">
      <c r="A19" s="1319">
        <v>6</v>
      </c>
      <c r="B19" s="1357" t="s">
        <v>650</v>
      </c>
      <c r="C19" s="1358" t="s">
        <v>794</v>
      </c>
      <c r="D19" s="1359">
        <f>D20+D21</f>
        <v>1.2705</v>
      </c>
      <c r="E19" s="1360">
        <f>ROUND((L19+S19)/2,4)</f>
        <v>1.0358000000000001</v>
      </c>
      <c r="F19" s="1324">
        <f t="shared" ref="F19:K19" si="11">F20+F21</f>
        <v>1.5601</v>
      </c>
      <c r="G19" s="1324">
        <f t="shared" si="11"/>
        <v>1.3507</v>
      </c>
      <c r="H19" s="1324">
        <f t="shared" si="11"/>
        <v>1.2326999999999999</v>
      </c>
      <c r="I19" s="1324">
        <f t="shared" si="11"/>
        <v>1.1015999999999999</v>
      </c>
      <c r="J19" s="1324">
        <f t="shared" si="11"/>
        <v>0.56999999999999995</v>
      </c>
      <c r="K19" s="1324">
        <f t="shared" si="11"/>
        <v>0.39979999999999999</v>
      </c>
      <c r="L19" s="1326">
        <f>ROUND(SUM(F19:K19)/6,4)</f>
        <v>1.0358000000000001</v>
      </c>
      <c r="M19" s="1324">
        <f t="shared" ref="M19:R19" si="12">M20+M21</f>
        <v>0.39979999999999999</v>
      </c>
      <c r="N19" s="1324">
        <f t="shared" si="12"/>
        <v>0.56999999999999995</v>
      </c>
      <c r="O19" s="1324">
        <f t="shared" si="12"/>
        <v>1.1015999999999999</v>
      </c>
      <c r="P19" s="1324">
        <f t="shared" si="12"/>
        <v>1.2326999999999999</v>
      </c>
      <c r="Q19" s="1324">
        <f t="shared" si="12"/>
        <v>1.3507</v>
      </c>
      <c r="R19" s="1324">
        <f t="shared" si="12"/>
        <v>1.5601</v>
      </c>
      <c r="S19" s="1326">
        <f>ROUND(SUM(M19:R19)/6,4)</f>
        <v>1.0358000000000001</v>
      </c>
      <c r="V19" s="1355" t="str">
        <f t="shared" ref="V19:V26" si="13">IF(ROUND(AVERAGE(F19:K19,M19:R19),4)=E19,"Ок","Ошибка")</f>
        <v>Ок</v>
      </c>
    </row>
    <row r="20" spans="1:24" s="1292" customFormat="1" ht="15.75">
      <c r="A20" s="1361" t="s">
        <v>307</v>
      </c>
      <c r="B20" s="1357" t="s">
        <v>651</v>
      </c>
      <c r="C20" s="1358" t="s">
        <v>794</v>
      </c>
      <c r="D20" s="1362"/>
      <c r="E20" s="1360">
        <f>(L20+S20)/2</f>
        <v>0</v>
      </c>
      <c r="F20" s="1328">
        <v>0</v>
      </c>
      <c r="G20" s="1328">
        <v>0</v>
      </c>
      <c r="H20" s="1328">
        <v>0</v>
      </c>
      <c r="I20" s="1328">
        <v>0</v>
      </c>
      <c r="J20" s="1328">
        <v>0</v>
      </c>
      <c r="K20" s="1328">
        <v>0</v>
      </c>
      <c r="L20" s="1363">
        <f t="shared" ref="L20:L26" si="14">SUM(F20:K20)/6</f>
        <v>0</v>
      </c>
      <c r="M20" s="1328"/>
      <c r="N20" s="1328"/>
      <c r="O20" s="1328"/>
      <c r="P20" s="1328"/>
      <c r="Q20" s="1328"/>
      <c r="R20" s="1328"/>
      <c r="S20" s="1326">
        <f>SUM(M20:R20)/6</f>
        <v>0</v>
      </c>
      <c r="V20" s="1355" t="str">
        <f t="shared" si="13"/>
        <v>Ок</v>
      </c>
    </row>
    <row r="21" spans="1:24" s="1292" customFormat="1" ht="31.5">
      <c r="A21" s="1361" t="s">
        <v>308</v>
      </c>
      <c r="B21" s="1357" t="s">
        <v>652</v>
      </c>
      <c r="C21" s="1358" t="s">
        <v>794</v>
      </c>
      <c r="D21" s="1364">
        <v>1.2705</v>
      </c>
      <c r="E21" s="1360">
        <f>ROUND((L21+S21)/2,4)</f>
        <v>1.0358000000000001</v>
      </c>
      <c r="F21" s="1328">
        <f>ROUND(1.56008387479995,4)</f>
        <v>1.5601</v>
      </c>
      <c r="G21" s="1328">
        <f>ROUND(1.3507244309761,4)</f>
        <v>1.3507</v>
      </c>
      <c r="H21" s="1328">
        <f>ROUND(1.23267194620281,4)</f>
        <v>1.2326999999999999</v>
      </c>
      <c r="I21" s="1328">
        <f>ROUND(1.1016020707492,4)</f>
        <v>1.1015999999999999</v>
      </c>
      <c r="J21" s="1328">
        <f>ROUND(0.56996528790165,4)</f>
        <v>0.56999999999999995</v>
      </c>
      <c r="K21" s="1328">
        <f>ROUND(0.399782934824832,4)</f>
        <v>0.39979999999999999</v>
      </c>
      <c r="L21" s="1326">
        <f>ROUND(SUM(F21:K21)/6,4)</f>
        <v>1.0358000000000001</v>
      </c>
      <c r="M21" s="1328">
        <f>K21</f>
        <v>0.39979999999999999</v>
      </c>
      <c r="N21" s="1328">
        <f>J21</f>
        <v>0.56999999999999995</v>
      </c>
      <c r="O21" s="1328">
        <f>I21</f>
        <v>1.1015999999999999</v>
      </c>
      <c r="P21" s="1328">
        <f>H21</f>
        <v>1.2326999999999999</v>
      </c>
      <c r="Q21" s="1328">
        <f>G21</f>
        <v>1.3507</v>
      </c>
      <c r="R21" s="1328">
        <f>F21</f>
        <v>1.5601</v>
      </c>
      <c r="S21" s="1326">
        <f>ROUND(SUM(M21:R21)/6,4)</f>
        <v>1.0358000000000001</v>
      </c>
      <c r="V21" s="1355" t="str">
        <f t="shared" si="13"/>
        <v>Ок</v>
      </c>
    </row>
    <row r="22" spans="1:24" s="1292" customFormat="1" ht="15.75">
      <c r="A22" s="1319">
        <v>7</v>
      </c>
      <c r="B22" s="1365" t="s">
        <v>653</v>
      </c>
      <c r="C22" s="1366" t="s">
        <v>283</v>
      </c>
      <c r="D22" s="1367">
        <f t="shared" ref="D22:S22" si="15">D19/D18</f>
        <v>0.24119601328903653</v>
      </c>
      <c r="E22" s="1333">
        <f>E19/E18</f>
        <v>0.19649801756682414</v>
      </c>
      <c r="F22" s="1333">
        <f t="shared" si="15"/>
        <v>0.24678878764869652</v>
      </c>
      <c r="G22" s="1333">
        <f t="shared" si="15"/>
        <v>0.23691087997474261</v>
      </c>
      <c r="H22" s="1333">
        <f t="shared" si="15"/>
        <v>0.22704584384727314</v>
      </c>
      <c r="I22" s="1333">
        <f t="shared" si="15"/>
        <v>0.20730146782085057</v>
      </c>
      <c r="J22" s="1333">
        <f t="shared" si="15"/>
        <v>0.11846371269432204</v>
      </c>
      <c r="K22" s="1333">
        <f t="shared" si="15"/>
        <v>9.8718486876219161E-2</v>
      </c>
      <c r="L22" s="1334">
        <f>L19/L18</f>
        <v>0.19649801756682414</v>
      </c>
      <c r="M22" s="1333">
        <f t="shared" si="15"/>
        <v>9.8718486876219161E-2</v>
      </c>
      <c r="N22" s="1333">
        <f t="shared" si="15"/>
        <v>0.11846371269432204</v>
      </c>
      <c r="O22" s="1333">
        <f t="shared" si="15"/>
        <v>0.20730146782085057</v>
      </c>
      <c r="P22" s="1333">
        <f t="shared" si="15"/>
        <v>0.22704584384727314</v>
      </c>
      <c r="Q22" s="1333">
        <f t="shared" si="15"/>
        <v>0.23691087997474261</v>
      </c>
      <c r="R22" s="1333">
        <f t="shared" si="15"/>
        <v>0.24678878764869652</v>
      </c>
      <c r="S22" s="1501">
        <f t="shared" si="15"/>
        <v>0.19649801756682414</v>
      </c>
      <c r="V22" s="1294"/>
    </row>
    <row r="23" spans="1:24" s="1292" customFormat="1" ht="15.75">
      <c r="A23" s="1319">
        <v>8</v>
      </c>
      <c r="B23" s="1365" t="s">
        <v>966</v>
      </c>
      <c r="C23" s="1358" t="s">
        <v>794</v>
      </c>
      <c r="D23" s="1359">
        <f>D24+D25</f>
        <v>3.9969999999999999</v>
      </c>
      <c r="E23" s="1360">
        <f>ROUND((L23+S23)/2,4)</f>
        <v>4.2355</v>
      </c>
      <c r="F23" s="1323">
        <f t="shared" ref="F23:K23" si="16">F24+F25</f>
        <v>4.7614999999999998</v>
      </c>
      <c r="G23" s="1323">
        <f t="shared" si="16"/>
        <v>4.3506</v>
      </c>
      <c r="H23" s="1323">
        <f t="shared" si="16"/>
        <v>4.1966000000000001</v>
      </c>
      <c r="I23" s="1323">
        <f t="shared" si="16"/>
        <v>4.2123999999999997</v>
      </c>
      <c r="J23" s="1323">
        <f t="shared" si="16"/>
        <v>4.2416</v>
      </c>
      <c r="K23" s="1323">
        <f t="shared" si="16"/>
        <v>3.6501000000000001</v>
      </c>
      <c r="L23" s="1326">
        <f>ROUND(SUM(F23:K23)/6,4)</f>
        <v>4.2355</v>
      </c>
      <c r="M23" s="1323">
        <f t="shared" ref="M23:R23" si="17">M24+M25</f>
        <v>3.6501000000000001</v>
      </c>
      <c r="N23" s="1323">
        <f t="shared" si="17"/>
        <v>4.2416</v>
      </c>
      <c r="O23" s="1323">
        <f t="shared" si="17"/>
        <v>4.2123999999999997</v>
      </c>
      <c r="P23" s="1323">
        <f t="shared" si="17"/>
        <v>4.1966000000000001</v>
      </c>
      <c r="Q23" s="1323">
        <f t="shared" si="17"/>
        <v>4.3506</v>
      </c>
      <c r="R23" s="1323">
        <f t="shared" si="17"/>
        <v>4.7614999999999998</v>
      </c>
      <c r="S23" s="1326">
        <f>ROUND(SUM(M23:R23)/6,4)</f>
        <v>4.2355</v>
      </c>
      <c r="V23" s="1355" t="str">
        <f t="shared" si="13"/>
        <v>Ок</v>
      </c>
    </row>
    <row r="24" spans="1:24" s="1292" customFormat="1" ht="15.75">
      <c r="A24" s="1361" t="s">
        <v>310</v>
      </c>
      <c r="B24" s="1365" t="s">
        <v>655</v>
      </c>
      <c r="C24" s="1358" t="s">
        <v>794</v>
      </c>
      <c r="D24" s="1362"/>
      <c r="E24" s="1360">
        <f>(L24+S24)/2</f>
        <v>0</v>
      </c>
      <c r="F24" s="1328">
        <v>0</v>
      </c>
      <c r="G24" s="1328">
        <v>0</v>
      </c>
      <c r="H24" s="1328">
        <v>0</v>
      </c>
      <c r="I24" s="1328">
        <v>0</v>
      </c>
      <c r="J24" s="1328">
        <v>0</v>
      </c>
      <c r="K24" s="1328">
        <v>0</v>
      </c>
      <c r="L24" s="1363">
        <f t="shared" si="14"/>
        <v>0</v>
      </c>
      <c r="M24" s="1328"/>
      <c r="N24" s="1328"/>
      <c r="O24" s="1328"/>
      <c r="P24" s="1328"/>
      <c r="Q24" s="1328"/>
      <c r="R24" s="1328"/>
      <c r="S24" s="1326">
        <f>SUM(M24:R24)/6</f>
        <v>0</v>
      </c>
      <c r="V24" s="1355" t="str">
        <f t="shared" si="13"/>
        <v>Ок</v>
      </c>
    </row>
    <row r="25" spans="1:24" s="1292" customFormat="1" ht="31.5">
      <c r="A25" s="1361" t="s">
        <v>311</v>
      </c>
      <c r="B25" s="1365" t="s">
        <v>967</v>
      </c>
      <c r="C25" s="1358" t="s">
        <v>794</v>
      </c>
      <c r="D25" s="1364">
        <f>ROUND(3.99700036363636,4)</f>
        <v>3.9969999999999999</v>
      </c>
      <c r="E25" s="1360">
        <f>ROUND((L25+S25)/2,4)</f>
        <v>4.2355</v>
      </c>
      <c r="F25" s="1336">
        <f>ROUND(4.76151612520005,4)</f>
        <v>4.7614999999999998</v>
      </c>
      <c r="G25" s="1336">
        <f>ROUND(4.35058465993299,4)</f>
        <v>4.3506</v>
      </c>
      <c r="H25" s="1336">
        <f>ROUND(4.19656441743355,4)</f>
        <v>4.1966000000000001</v>
      </c>
      <c r="I25" s="1336">
        <f>ROUND(4.21243429288717,4)</f>
        <v>4.2123999999999997</v>
      </c>
      <c r="J25" s="1336">
        <f>ROUND(4.24159834846199,4)</f>
        <v>4.2416</v>
      </c>
      <c r="K25" s="1336">
        <f>ROUND(3.65010797426608,4)</f>
        <v>3.6501000000000001</v>
      </c>
      <c r="L25" s="1326">
        <f>ROUND(SUM(F25:K25)/6,4)</f>
        <v>4.2355</v>
      </c>
      <c r="M25" s="1336">
        <f>K25</f>
        <v>3.6501000000000001</v>
      </c>
      <c r="N25" s="1336">
        <f>J25</f>
        <v>4.2416</v>
      </c>
      <c r="O25" s="1336">
        <f>I25</f>
        <v>4.2123999999999997</v>
      </c>
      <c r="P25" s="1336">
        <f>H25</f>
        <v>4.1966000000000001</v>
      </c>
      <c r="Q25" s="1336">
        <f>G25</f>
        <v>4.3506</v>
      </c>
      <c r="R25" s="1336">
        <f>F25</f>
        <v>4.7614999999999998</v>
      </c>
      <c r="S25" s="1326">
        <f>ROUND(SUM(M25:R25)/6,4)</f>
        <v>4.2355</v>
      </c>
      <c r="V25" s="1355" t="str">
        <f t="shared" si="13"/>
        <v>Ок</v>
      </c>
    </row>
    <row r="26" spans="1:24" s="1292" customFormat="1" ht="16.5" thickBot="1">
      <c r="A26" s="1337" t="s">
        <v>968</v>
      </c>
      <c r="B26" s="1368" t="s">
        <v>1379</v>
      </c>
      <c r="C26" s="1369" t="s">
        <v>794</v>
      </c>
      <c r="D26" s="1370"/>
      <c r="E26" s="1371">
        <f>(L26+S26)/2</f>
        <v>0</v>
      </c>
      <c r="F26" s="1372">
        <v>0</v>
      </c>
      <c r="G26" s="1372">
        <v>0</v>
      </c>
      <c r="H26" s="1372">
        <v>0</v>
      </c>
      <c r="I26" s="1372">
        <v>0</v>
      </c>
      <c r="J26" s="1372">
        <v>0</v>
      </c>
      <c r="K26" s="1372">
        <v>0</v>
      </c>
      <c r="L26" s="1373">
        <f t="shared" si="14"/>
        <v>0</v>
      </c>
      <c r="M26" s="1374"/>
      <c r="N26" s="1374"/>
      <c r="O26" s="1374"/>
      <c r="P26" s="1374"/>
      <c r="Q26" s="1374"/>
      <c r="R26" s="1374"/>
      <c r="S26" s="1375">
        <f>SUM(M26:R26)/6</f>
        <v>0</v>
      </c>
      <c r="V26" s="1355" t="str">
        <f t="shared" si="13"/>
        <v>Ок</v>
      </c>
    </row>
    <row r="27" spans="1:24" ht="13.5" thickBot="1">
      <c r="A27" s="1098"/>
      <c r="B27" s="1099"/>
      <c r="C27" s="1100"/>
      <c r="D27" s="868"/>
      <c r="E27" s="1101"/>
      <c r="F27" s="1101"/>
      <c r="G27" s="868"/>
      <c r="H27" s="868"/>
      <c r="I27" s="868"/>
      <c r="J27" s="868"/>
      <c r="K27" s="868"/>
      <c r="L27" s="1102"/>
      <c r="M27" s="868"/>
      <c r="N27" s="868"/>
      <c r="O27" s="868"/>
      <c r="P27" s="868"/>
      <c r="Q27" s="868"/>
      <c r="R27" s="868"/>
      <c r="S27" s="868"/>
    </row>
    <row r="28" spans="1:24" s="1292" customFormat="1" ht="28.5" customHeight="1" thickBot="1">
      <c r="A28" s="1778" t="s">
        <v>969</v>
      </c>
      <c r="B28" s="1788" t="s">
        <v>245</v>
      </c>
      <c r="C28" s="1788" t="s">
        <v>270</v>
      </c>
      <c r="D28" s="1791" t="s">
        <v>970</v>
      </c>
      <c r="E28" s="1792"/>
      <c r="F28" s="1792"/>
      <c r="G28" s="1792"/>
      <c r="H28" s="1792"/>
      <c r="I28" s="1792"/>
      <c r="J28" s="1792"/>
      <c r="K28" s="1792"/>
      <c r="L28" s="1792"/>
      <c r="M28" s="1793"/>
      <c r="N28" s="1781" t="s">
        <v>265</v>
      </c>
      <c r="O28" s="1782"/>
      <c r="P28" s="1766" t="s">
        <v>994</v>
      </c>
      <c r="Q28" s="1767"/>
      <c r="R28" s="1767"/>
      <c r="S28" s="1768"/>
      <c r="V28" s="1294"/>
    </row>
    <row r="29" spans="1:24" s="1292" customFormat="1" ht="36.75" customHeight="1" thickBot="1">
      <c r="A29" s="1779"/>
      <c r="B29" s="1789"/>
      <c r="C29" s="1789"/>
      <c r="D29" s="1772" t="s">
        <v>1064</v>
      </c>
      <c r="E29" s="1773"/>
      <c r="F29" s="1772" t="s">
        <v>1060</v>
      </c>
      <c r="G29" s="1773"/>
      <c r="H29" s="1772" t="s">
        <v>1061</v>
      </c>
      <c r="I29" s="1773"/>
      <c r="J29" s="1772" t="s">
        <v>1325</v>
      </c>
      <c r="K29" s="1773"/>
      <c r="L29" s="1774" t="s">
        <v>1062</v>
      </c>
      <c r="M29" s="1775"/>
      <c r="N29" s="1783"/>
      <c r="O29" s="1784"/>
      <c r="P29" s="1769"/>
      <c r="Q29" s="1770"/>
      <c r="R29" s="1770"/>
      <c r="S29" s="1771"/>
      <c r="T29" s="1376"/>
      <c r="V29" s="1377"/>
    </row>
    <row r="30" spans="1:24" s="1292" customFormat="1" ht="54" customHeight="1" thickBot="1">
      <c r="A30" s="1780"/>
      <c r="B30" s="1790"/>
      <c r="C30" s="1790"/>
      <c r="D30" s="1378" t="s">
        <v>1381</v>
      </c>
      <c r="E30" s="1378" t="s">
        <v>1382</v>
      </c>
      <c r="F30" s="1378" t="s">
        <v>1381</v>
      </c>
      <c r="G30" s="1378" t="s">
        <v>1382</v>
      </c>
      <c r="H30" s="1378" t="s">
        <v>1381</v>
      </c>
      <c r="I30" s="1378" t="s">
        <v>1382</v>
      </c>
      <c r="J30" s="1378" t="s">
        <v>1381</v>
      </c>
      <c r="K30" s="1378" t="s">
        <v>1382</v>
      </c>
      <c r="L30" s="1378" t="s">
        <v>1381</v>
      </c>
      <c r="M30" s="1378" t="s">
        <v>1382</v>
      </c>
      <c r="N30" s="1378" t="s">
        <v>1381</v>
      </c>
      <c r="O30" s="1378" t="s">
        <v>1382</v>
      </c>
      <c r="P30" s="1379" t="s">
        <v>969</v>
      </c>
      <c r="Q30" s="1776" t="s">
        <v>998</v>
      </c>
      <c r="R30" s="1777"/>
      <c r="S30" s="1378" t="s">
        <v>1383</v>
      </c>
      <c r="T30" s="1380"/>
      <c r="V30" s="1294"/>
    </row>
    <row r="31" spans="1:24" s="1292" customFormat="1" ht="13.5" customHeight="1" thickBot="1">
      <c r="A31" s="1381" t="s">
        <v>250</v>
      </c>
      <c r="B31" s="1382" t="s">
        <v>971</v>
      </c>
      <c r="C31" s="1383" t="s">
        <v>590</v>
      </c>
      <c r="D31" s="1384">
        <f t="shared" ref="D31:N31" si="18">D32+D33+D35+D38</f>
        <v>23.895800000000001</v>
      </c>
      <c r="E31" s="1384">
        <f>E32+E33+E35+E38</f>
        <v>23.912699999999997</v>
      </c>
      <c r="F31" s="1384">
        <f t="shared" si="18"/>
        <v>2.1556000000000002</v>
      </c>
      <c r="G31" s="1384">
        <f t="shared" si="18"/>
        <v>2.1570999999999998</v>
      </c>
      <c r="H31" s="1384">
        <f t="shared" si="18"/>
        <v>2.4251999999999998</v>
      </c>
      <c r="I31" s="1384">
        <f t="shared" si="18"/>
        <v>2.4268999999999998</v>
      </c>
      <c r="J31" s="1384">
        <f t="shared" si="18"/>
        <v>0.2089</v>
      </c>
      <c r="K31" s="1384">
        <f t="shared" si="18"/>
        <v>0.20899999999999999</v>
      </c>
      <c r="L31" s="1384">
        <f t="shared" si="18"/>
        <v>0.28620000000000001</v>
      </c>
      <c r="M31" s="1384">
        <f t="shared" si="18"/>
        <v>0.2863</v>
      </c>
      <c r="N31" s="1384">
        <f t="shared" si="18"/>
        <v>28.971700000000002</v>
      </c>
      <c r="O31" s="1468">
        <f>ROUND(O32+O33+O35+O38,4)</f>
        <v>28.992000000000001</v>
      </c>
      <c r="P31" s="1385">
        <v>1</v>
      </c>
      <c r="Q31" s="1756"/>
      <c r="R31" s="1757"/>
      <c r="S31" s="1386"/>
      <c r="T31" s="1387"/>
      <c r="V31" s="1294"/>
    </row>
    <row r="32" spans="1:24" s="1292" customFormat="1" ht="13.5" customHeight="1" thickBot="1">
      <c r="A32" s="1388" t="s">
        <v>298</v>
      </c>
      <c r="B32" s="1389" t="s">
        <v>972</v>
      </c>
      <c r="C32" s="1390" t="s">
        <v>590</v>
      </c>
      <c r="D32" s="1391"/>
      <c r="E32" s="1391"/>
      <c r="F32" s="1391"/>
      <c r="G32" s="1391"/>
      <c r="H32" s="1391"/>
      <c r="I32" s="1391"/>
      <c r="J32" s="1392"/>
      <c r="K32" s="1392"/>
      <c r="L32" s="1392"/>
      <c r="M32" s="1392"/>
      <c r="N32" s="1393">
        <f>D32+F32+H32+J32+L32</f>
        <v>0</v>
      </c>
      <c r="O32" s="1394">
        <f>E32+G32+I32+K32+M32</f>
        <v>0</v>
      </c>
      <c r="P32" s="1385">
        <v>2</v>
      </c>
      <c r="Q32" s="1764"/>
      <c r="R32" s="1765"/>
      <c r="S32" s="1386"/>
      <c r="T32" s="1387"/>
      <c r="V32" s="1294"/>
    </row>
    <row r="33" spans="1:24" s="1292" customFormat="1" ht="13.5" customHeight="1" thickBot="1">
      <c r="A33" s="1388" t="s">
        <v>260</v>
      </c>
      <c r="B33" s="1389" t="s">
        <v>973</v>
      </c>
      <c r="C33" s="1390" t="s">
        <v>590</v>
      </c>
      <c r="D33" s="1395">
        <f t="shared" ref="D33:M33" si="19">D34</f>
        <v>0</v>
      </c>
      <c r="E33" s="1395">
        <f t="shared" si="19"/>
        <v>0</v>
      </c>
      <c r="F33" s="1395">
        <f t="shared" si="19"/>
        <v>0</v>
      </c>
      <c r="G33" s="1395">
        <f t="shared" si="19"/>
        <v>0</v>
      </c>
      <c r="H33" s="1395">
        <f t="shared" si="19"/>
        <v>0</v>
      </c>
      <c r="I33" s="1395">
        <f t="shared" si="19"/>
        <v>0</v>
      </c>
      <c r="J33" s="1395">
        <f t="shared" si="19"/>
        <v>0</v>
      </c>
      <c r="K33" s="1395">
        <f t="shared" si="19"/>
        <v>0</v>
      </c>
      <c r="L33" s="1395">
        <f t="shared" si="19"/>
        <v>0</v>
      </c>
      <c r="M33" s="1395">
        <f t="shared" si="19"/>
        <v>0</v>
      </c>
      <c r="N33" s="1393">
        <f t="shared" ref="N33:O40" si="20">D33+F33+H33+J33+L33</f>
        <v>0</v>
      </c>
      <c r="O33" s="1394">
        <f t="shared" si="20"/>
        <v>0</v>
      </c>
      <c r="P33" s="1385">
        <v>3</v>
      </c>
      <c r="Q33" s="1756"/>
      <c r="R33" s="1757"/>
      <c r="S33" s="1386"/>
      <c r="V33" s="1294"/>
    </row>
    <row r="34" spans="1:24" s="1292" customFormat="1" ht="13.5" customHeight="1" thickBot="1">
      <c r="A34" s="1388"/>
      <c r="B34" s="1396" t="s">
        <v>974</v>
      </c>
      <c r="C34" s="1390" t="s">
        <v>590</v>
      </c>
      <c r="D34" s="1392"/>
      <c r="E34" s="1392"/>
      <c r="F34" s="1392"/>
      <c r="G34" s="1392"/>
      <c r="H34" s="1392"/>
      <c r="I34" s="1392"/>
      <c r="J34" s="1392"/>
      <c r="K34" s="1392"/>
      <c r="L34" s="1392"/>
      <c r="M34" s="1392"/>
      <c r="N34" s="1393">
        <f t="shared" si="20"/>
        <v>0</v>
      </c>
      <c r="O34" s="1394">
        <f t="shared" si="20"/>
        <v>0</v>
      </c>
      <c r="P34" s="1385">
        <v>4</v>
      </c>
      <c r="Q34" s="1756"/>
      <c r="R34" s="1757"/>
      <c r="S34" s="1386"/>
      <c r="V34" s="1294"/>
    </row>
    <row r="35" spans="1:24" s="1292" customFormat="1" ht="15" customHeight="1" thickBot="1">
      <c r="A35" s="1388" t="s">
        <v>6</v>
      </c>
      <c r="B35" s="1396" t="s">
        <v>975</v>
      </c>
      <c r="C35" s="1390" t="s">
        <v>590</v>
      </c>
      <c r="D35" s="1395">
        <v>23.895800000000001</v>
      </c>
      <c r="E35" s="1395">
        <v>23.912699999999997</v>
      </c>
      <c r="F35" s="1395">
        <f t="shared" ref="F35:M35" si="21">F36+F37</f>
        <v>2.1556000000000002</v>
      </c>
      <c r="G35" s="1395">
        <f t="shared" si="21"/>
        <v>2.1570999999999998</v>
      </c>
      <c r="H35" s="1395">
        <f t="shared" si="21"/>
        <v>2.4251999999999998</v>
      </c>
      <c r="I35" s="1395">
        <f t="shared" si="21"/>
        <v>2.4268999999999998</v>
      </c>
      <c r="J35" s="1395">
        <f t="shared" si="21"/>
        <v>0.2089</v>
      </c>
      <c r="K35" s="1395">
        <f t="shared" si="21"/>
        <v>0.20899999999999999</v>
      </c>
      <c r="L35" s="1395">
        <f t="shared" si="21"/>
        <v>0</v>
      </c>
      <c r="M35" s="1395">
        <f t="shared" si="21"/>
        <v>0</v>
      </c>
      <c r="N35" s="1393">
        <f t="shared" si="20"/>
        <v>28.685500000000001</v>
      </c>
      <c r="O35" s="1394">
        <f t="shared" si="20"/>
        <v>28.705699999999997</v>
      </c>
      <c r="P35" s="1385">
        <v>5</v>
      </c>
      <c r="Q35" s="1756"/>
      <c r="R35" s="1757"/>
      <c r="S35" s="1386"/>
      <c r="V35" s="1294"/>
    </row>
    <row r="36" spans="1:24" s="1292" customFormat="1" ht="14.25" customHeight="1" thickBot="1">
      <c r="A36" s="1388"/>
      <c r="B36" s="1396" t="s">
        <v>974</v>
      </c>
      <c r="C36" s="1390" t="s">
        <v>590</v>
      </c>
      <c r="D36" s="1397">
        <f>ROUND(10.41492,4)</f>
        <v>10.414899999999999</v>
      </c>
      <c r="E36" s="1397">
        <v>10.414899999999999</v>
      </c>
      <c r="F36" s="1397"/>
      <c r="G36" s="1397"/>
      <c r="H36" s="1397">
        <f>ROUND(2.42519,4)</f>
        <v>2.4251999999999998</v>
      </c>
      <c r="I36" s="1397">
        <f>ROUND(2.42689138596789,4)</f>
        <v>2.4268999999999998</v>
      </c>
      <c r="J36" s="1397"/>
      <c r="K36" s="1391"/>
      <c r="L36" s="1397"/>
      <c r="M36" s="1391"/>
      <c r="N36" s="1393">
        <f t="shared" si="20"/>
        <v>12.8401</v>
      </c>
      <c r="O36" s="1394">
        <f t="shared" si="20"/>
        <v>12.841799999999999</v>
      </c>
      <c r="P36" s="1385">
        <v>6</v>
      </c>
      <c r="Q36" s="1756"/>
      <c r="R36" s="1757"/>
      <c r="S36" s="1386"/>
      <c r="V36" s="1294"/>
    </row>
    <row r="37" spans="1:24" s="1292" customFormat="1" ht="14.25" customHeight="1" thickBot="1">
      <c r="A37" s="1388"/>
      <c r="B37" s="1396" t="s">
        <v>976</v>
      </c>
      <c r="C37" s="1390" t="s">
        <v>590</v>
      </c>
      <c r="D37" s="1391">
        <f>ROUND(7.549668,4)</f>
        <v>7.5496999999999996</v>
      </c>
      <c r="E37" s="1397">
        <v>7.5496999999999996</v>
      </c>
      <c r="F37" s="1391">
        <f>ROUND(2.155624,4)</f>
        <v>2.1556000000000002</v>
      </c>
      <c r="G37" s="1397">
        <f>ROUND(2.15713627261602,4)</f>
        <v>2.1570999999999998</v>
      </c>
      <c r="H37" s="1398"/>
      <c r="I37" s="1398"/>
      <c r="J37" s="1391">
        <f>ROUND(0.20889,4)</f>
        <v>0.2089</v>
      </c>
      <c r="K37" s="1397">
        <f>ROUND(0.209036546256101,4)</f>
        <v>0.20899999999999999</v>
      </c>
      <c r="L37" s="1391"/>
      <c r="M37" s="1397"/>
      <c r="N37" s="1393">
        <f t="shared" si="20"/>
        <v>9.9141999999999992</v>
      </c>
      <c r="O37" s="1394">
        <f t="shared" si="20"/>
        <v>9.9157999999999991</v>
      </c>
      <c r="P37" s="1385">
        <v>7</v>
      </c>
      <c r="Q37" s="1756"/>
      <c r="R37" s="1757"/>
      <c r="S37" s="1386"/>
      <c r="V37" s="1294"/>
    </row>
    <row r="38" spans="1:24" s="1292" customFormat="1" ht="14.25" customHeight="1" thickBot="1">
      <c r="A38" s="1388" t="s">
        <v>7</v>
      </c>
      <c r="B38" s="1396" t="s">
        <v>977</v>
      </c>
      <c r="C38" s="1390" t="s">
        <v>590</v>
      </c>
      <c r="D38" s="1395">
        <f t="shared" ref="D38:I38" si="22">D39+D40+D41</f>
        <v>0</v>
      </c>
      <c r="E38" s="1395">
        <f t="shared" si="22"/>
        <v>0</v>
      </c>
      <c r="F38" s="1395">
        <f t="shared" si="22"/>
        <v>0</v>
      </c>
      <c r="G38" s="1395">
        <f t="shared" si="22"/>
        <v>0</v>
      </c>
      <c r="H38" s="1395">
        <f t="shared" si="22"/>
        <v>0</v>
      </c>
      <c r="I38" s="1395">
        <f t="shared" si="22"/>
        <v>0</v>
      </c>
      <c r="J38" s="1395">
        <f>J39+J40+J41</f>
        <v>0</v>
      </c>
      <c r="K38" s="1395">
        <f>K39+K40+K41</f>
        <v>0</v>
      </c>
      <c r="L38" s="1395">
        <f>L39+L40+L41</f>
        <v>0.28620000000000001</v>
      </c>
      <c r="M38" s="1395">
        <f>M39+M40+M41</f>
        <v>0.2863</v>
      </c>
      <c r="N38" s="1393">
        <f t="shared" si="20"/>
        <v>0.28620000000000001</v>
      </c>
      <c r="O38" s="1394">
        <f t="shared" si="20"/>
        <v>0.2863</v>
      </c>
      <c r="P38" s="1385">
        <v>8</v>
      </c>
      <c r="Q38" s="1756"/>
      <c r="R38" s="1757"/>
      <c r="S38" s="1386"/>
      <c r="V38" s="1294"/>
    </row>
    <row r="39" spans="1:24" s="1292" customFormat="1" ht="14.25" customHeight="1" thickBot="1">
      <c r="A39" s="1388"/>
      <c r="B39" s="1396" t="s">
        <v>974</v>
      </c>
      <c r="C39" s="1390" t="s">
        <v>590</v>
      </c>
      <c r="D39" s="1391"/>
      <c r="E39" s="1391"/>
      <c r="F39" s="1391"/>
      <c r="G39" s="1391"/>
      <c r="H39" s="1391"/>
      <c r="I39" s="1391"/>
      <c r="J39" s="1391"/>
      <c r="K39" s="1391"/>
      <c r="L39" s="1391"/>
      <c r="M39" s="1391"/>
      <c r="N39" s="1393">
        <f t="shared" si="20"/>
        <v>0</v>
      </c>
      <c r="O39" s="1394">
        <f t="shared" si="20"/>
        <v>0</v>
      </c>
      <c r="P39" s="1385">
        <v>9</v>
      </c>
      <c r="Q39" s="1756"/>
      <c r="R39" s="1757"/>
      <c r="S39" s="1386"/>
      <c r="V39" s="1294"/>
    </row>
    <row r="40" spans="1:24" s="1292" customFormat="1" ht="13.5" customHeight="1" thickBot="1">
      <c r="A40" s="1388"/>
      <c r="B40" s="1396" t="s">
        <v>978</v>
      </c>
      <c r="C40" s="1390" t="s">
        <v>590</v>
      </c>
      <c r="D40" s="1399"/>
      <c r="E40" s="1399"/>
      <c r="F40" s="1399"/>
      <c r="G40" s="1399"/>
      <c r="H40" s="1399"/>
      <c r="I40" s="1399"/>
      <c r="J40" s="1399"/>
      <c r="K40" s="1399"/>
      <c r="L40" s="1399"/>
      <c r="M40" s="1399"/>
      <c r="N40" s="1393">
        <f t="shared" si="20"/>
        <v>0</v>
      </c>
      <c r="O40" s="1394">
        <f t="shared" si="20"/>
        <v>0</v>
      </c>
      <c r="P40" s="1385">
        <v>10</v>
      </c>
      <c r="Q40" s="1756"/>
      <c r="R40" s="1757"/>
      <c r="S40" s="1386"/>
      <c r="V40" s="1294"/>
    </row>
    <row r="41" spans="1:24" s="1292" customFormat="1" ht="14.25" customHeight="1" thickBot="1">
      <c r="A41" s="1400"/>
      <c r="B41" s="1401" t="s">
        <v>979</v>
      </c>
      <c r="C41" s="1402" t="s">
        <v>590</v>
      </c>
      <c r="D41" s="1403"/>
      <c r="E41" s="1404"/>
      <c r="F41" s="1403"/>
      <c r="G41" s="1403"/>
      <c r="H41" s="1403"/>
      <c r="I41" s="1403"/>
      <c r="J41" s="1403"/>
      <c r="K41" s="1403"/>
      <c r="L41" s="1403">
        <f>ROUND(0.2861536,4)</f>
        <v>0.28620000000000001</v>
      </c>
      <c r="M41" s="1404">
        <f>ROUND(0.2863,4)</f>
        <v>0.2863</v>
      </c>
      <c r="N41" s="1405">
        <f>D41+F41+H41+L41</f>
        <v>0.28620000000000001</v>
      </c>
      <c r="O41" s="1406">
        <f>E41+G41+I41+M41</f>
        <v>0.2863</v>
      </c>
      <c r="P41" s="1385">
        <v>11</v>
      </c>
      <c r="Q41" s="1756"/>
      <c r="R41" s="1757"/>
      <c r="S41" s="1386"/>
      <c r="V41" s="1294"/>
    </row>
    <row r="42" spans="1:24" s="1408" customFormat="1" ht="39" customHeight="1" thickBot="1">
      <c r="A42" s="1407" t="s">
        <v>251</v>
      </c>
      <c r="B42" s="1762" t="s">
        <v>1384</v>
      </c>
      <c r="C42" s="1762"/>
      <c r="D42" s="1762"/>
      <c r="E42" s="1763"/>
      <c r="F42" s="1763"/>
      <c r="G42" s="1763"/>
      <c r="H42" s="1763"/>
      <c r="I42" s="1763"/>
      <c r="K42" s="1409"/>
      <c r="L42" s="1794"/>
      <c r="M42" s="1794"/>
      <c r="N42" s="1794"/>
      <c r="O42" s="1410"/>
      <c r="P42" s="1410"/>
      <c r="Q42" s="1411"/>
      <c r="R42" s="1412"/>
      <c r="S42" s="1413"/>
      <c r="T42" s="1410"/>
      <c r="W42" s="1414"/>
    </row>
    <row r="43" spans="1:24" s="1292" customFormat="1" ht="21" customHeight="1" thickBot="1">
      <c r="A43" s="1759" t="s">
        <v>980</v>
      </c>
      <c r="B43" s="1760"/>
      <c r="C43" s="1760"/>
      <c r="D43" s="1760"/>
      <c r="E43" s="1760"/>
      <c r="F43" s="1760"/>
      <c r="G43" s="1760"/>
      <c r="H43" s="1760"/>
      <c r="I43" s="1760"/>
      <c r="J43" s="1760"/>
      <c r="K43" s="1760"/>
      <c r="L43" s="1760"/>
      <c r="M43" s="1760"/>
      <c r="N43" s="1760"/>
      <c r="O43" s="1761"/>
      <c r="S43" s="1415"/>
      <c r="W43" s="1294"/>
    </row>
    <row r="44" spans="1:24" s="1292" customFormat="1" ht="55.5" customHeight="1" thickBot="1">
      <c r="A44" s="1755" t="s">
        <v>244</v>
      </c>
      <c r="B44" s="1755" t="s">
        <v>981</v>
      </c>
      <c r="C44" s="1755"/>
      <c r="D44" s="1758" t="s">
        <v>982</v>
      </c>
      <c r="E44" s="1758"/>
      <c r="F44" s="1758" t="s">
        <v>983</v>
      </c>
      <c r="G44" s="1758"/>
      <c r="H44" s="1758" t="s">
        <v>984</v>
      </c>
      <c r="I44" s="1758"/>
      <c r="J44" s="1758" t="s">
        <v>985</v>
      </c>
      <c r="K44" s="1758"/>
      <c r="L44" s="1758" t="s">
        <v>986</v>
      </c>
      <c r="M44" s="1758"/>
      <c r="N44" s="1758" t="s">
        <v>1385</v>
      </c>
      <c r="O44" s="1758"/>
      <c r="V44" s="1294"/>
    </row>
    <row r="45" spans="1:24" s="1292" customFormat="1" ht="32.25" thickBot="1">
      <c r="A45" s="1755" t="s">
        <v>969</v>
      </c>
      <c r="B45" s="1755"/>
      <c r="C45" s="1755"/>
      <c r="D45" s="1378" t="s">
        <v>1381</v>
      </c>
      <c r="E45" s="1378" t="s">
        <v>1382</v>
      </c>
      <c r="F45" s="1378" t="s">
        <v>1381</v>
      </c>
      <c r="G45" s="1378" t="s">
        <v>1382</v>
      </c>
      <c r="H45" s="1378" t="s">
        <v>1381</v>
      </c>
      <c r="I45" s="1378" t="s">
        <v>1382</v>
      </c>
      <c r="J45" s="1378" t="s">
        <v>1381</v>
      </c>
      <c r="K45" s="1378" t="s">
        <v>1382</v>
      </c>
      <c r="L45" s="1378" t="s">
        <v>1381</v>
      </c>
      <c r="M45" s="1378" t="s">
        <v>1382</v>
      </c>
      <c r="N45" s="1378" t="s">
        <v>1381</v>
      </c>
      <c r="O45" s="1378" t="s">
        <v>1382</v>
      </c>
      <c r="V45" s="1294"/>
    </row>
    <row r="46" spans="1:24" s="1292" customFormat="1" ht="15.75" customHeight="1">
      <c r="A46" s="1416" t="s">
        <v>250</v>
      </c>
      <c r="B46" s="1795" t="s">
        <v>987</v>
      </c>
      <c r="C46" s="1796"/>
      <c r="D46" s="1417">
        <f t="shared" ref="D46:O46" si="23">D47+D48</f>
        <v>0</v>
      </c>
      <c r="E46" s="1418">
        <f t="shared" si="23"/>
        <v>0</v>
      </c>
      <c r="F46" s="1417">
        <f t="shared" si="23"/>
        <v>0</v>
      </c>
      <c r="G46" s="1418">
        <f t="shared" si="23"/>
        <v>0</v>
      </c>
      <c r="H46" s="1417">
        <f t="shared" si="23"/>
        <v>0</v>
      </c>
      <c r="I46" s="1418">
        <f t="shared" si="23"/>
        <v>0</v>
      </c>
      <c r="J46" s="1417">
        <f t="shared" si="23"/>
        <v>0</v>
      </c>
      <c r="K46" s="1418">
        <f t="shared" si="23"/>
        <v>0</v>
      </c>
      <c r="L46" s="1417">
        <f t="shared" si="23"/>
        <v>0</v>
      </c>
      <c r="M46" s="1418">
        <f t="shared" si="23"/>
        <v>0</v>
      </c>
      <c r="N46" s="1419">
        <f t="shared" si="23"/>
        <v>0</v>
      </c>
      <c r="O46" s="1418">
        <f t="shared" si="23"/>
        <v>0</v>
      </c>
      <c r="U46" s="1420" t="e">
        <f>D46*1000/L46</f>
        <v>#DIV/0!</v>
      </c>
      <c r="V46" s="1420" t="e">
        <f>E46*1000/M46</f>
        <v>#DIV/0!</v>
      </c>
      <c r="W46" s="1420" t="e">
        <f>F46*1000/N46</f>
        <v>#DIV/0!</v>
      </c>
      <c r="X46" s="1420" t="e">
        <f>G46*1000/O46</f>
        <v>#DIV/0!</v>
      </c>
    </row>
    <row r="47" spans="1:24" s="1292" customFormat="1" ht="15.75" customHeight="1">
      <c r="A47" s="1421"/>
      <c r="B47" s="1797" t="s">
        <v>655</v>
      </c>
      <c r="C47" s="1798"/>
      <c r="D47" s="1422"/>
      <c r="E47" s="1423"/>
      <c r="F47" s="1422"/>
      <c r="G47" s="1423"/>
      <c r="H47" s="1422"/>
      <c r="I47" s="1423"/>
      <c r="J47" s="1422"/>
      <c r="K47" s="1423"/>
      <c r="L47" s="1422"/>
      <c r="M47" s="1423"/>
      <c r="N47" s="1422"/>
      <c r="O47" s="1424"/>
      <c r="V47" s="1294"/>
    </row>
    <row r="48" spans="1:24" s="1292" customFormat="1" ht="15.75" customHeight="1">
      <c r="A48" s="1421"/>
      <c r="B48" s="1797" t="s">
        <v>656</v>
      </c>
      <c r="C48" s="1798"/>
      <c r="D48" s="1425"/>
      <c r="E48" s="1426"/>
      <c r="F48" s="1425"/>
      <c r="G48" s="1426"/>
      <c r="H48" s="1425"/>
      <c r="I48" s="1426"/>
      <c r="J48" s="1425"/>
      <c r="K48" s="1426"/>
      <c r="L48" s="1425"/>
      <c r="M48" s="1426"/>
      <c r="N48" s="1425"/>
      <c r="O48" s="1427"/>
      <c r="V48" s="1294"/>
    </row>
    <row r="49" spans="1:24" s="1292" customFormat="1" ht="15.75" customHeight="1">
      <c r="A49" s="1421" t="s">
        <v>246</v>
      </c>
      <c r="B49" s="1799" t="s">
        <v>988</v>
      </c>
      <c r="C49" s="1800"/>
      <c r="D49" s="1428">
        <f>D50+D51</f>
        <v>0</v>
      </c>
      <c r="E49" s="1429">
        <f t="shared" ref="E49:O49" si="24">E50+E51</f>
        <v>0</v>
      </c>
      <c r="F49" s="1428">
        <f t="shared" si="24"/>
        <v>0</v>
      </c>
      <c r="G49" s="1429">
        <f t="shared" si="24"/>
        <v>0</v>
      </c>
      <c r="H49" s="1428">
        <f t="shared" si="24"/>
        <v>0</v>
      </c>
      <c r="I49" s="1429">
        <f t="shared" si="24"/>
        <v>0</v>
      </c>
      <c r="J49" s="1428">
        <f t="shared" si="24"/>
        <v>0</v>
      </c>
      <c r="K49" s="1429">
        <f t="shared" si="24"/>
        <v>0</v>
      </c>
      <c r="L49" s="1428">
        <f t="shared" si="24"/>
        <v>0</v>
      </c>
      <c r="M49" s="1429">
        <f t="shared" si="24"/>
        <v>0</v>
      </c>
      <c r="N49" s="1428">
        <f t="shared" si="24"/>
        <v>0</v>
      </c>
      <c r="O49" s="1430">
        <f t="shared" si="24"/>
        <v>0</v>
      </c>
      <c r="U49" s="1420" t="e">
        <f>D49*1000/L49</f>
        <v>#DIV/0!</v>
      </c>
      <c r="V49" s="1420" t="e">
        <f>E49*1000/M49</f>
        <v>#DIV/0!</v>
      </c>
      <c r="W49" s="1420" t="e">
        <f>F49*1000/N49</f>
        <v>#DIV/0!</v>
      </c>
      <c r="X49" s="1420" t="e">
        <f>G49*1000/O49</f>
        <v>#DIV/0!</v>
      </c>
    </row>
    <row r="50" spans="1:24" s="1292" customFormat="1" ht="15.75" customHeight="1">
      <c r="A50" s="1421"/>
      <c r="B50" s="1797" t="s">
        <v>655</v>
      </c>
      <c r="C50" s="1798"/>
      <c r="D50" s="1425"/>
      <c r="E50" s="1426"/>
      <c r="F50" s="1425"/>
      <c r="G50" s="1426"/>
      <c r="H50" s="1425"/>
      <c r="I50" s="1426"/>
      <c r="J50" s="1425"/>
      <c r="K50" s="1426"/>
      <c r="L50" s="1425"/>
      <c r="M50" s="1426"/>
      <c r="N50" s="1425"/>
      <c r="O50" s="1427"/>
      <c r="V50" s="1294"/>
    </row>
    <row r="51" spans="1:24" s="1292" customFormat="1" ht="15.75" customHeight="1">
      <c r="A51" s="1421"/>
      <c r="B51" s="1797" t="s">
        <v>656</v>
      </c>
      <c r="C51" s="1798"/>
      <c r="D51" s="1425"/>
      <c r="E51" s="1426"/>
      <c r="F51" s="1425"/>
      <c r="G51" s="1426"/>
      <c r="H51" s="1425"/>
      <c r="I51" s="1426"/>
      <c r="J51" s="1425"/>
      <c r="K51" s="1426"/>
      <c r="L51" s="1425"/>
      <c r="M51" s="1426"/>
      <c r="N51" s="1425"/>
      <c r="O51" s="1427"/>
      <c r="V51" s="1294"/>
    </row>
    <row r="52" spans="1:24" s="1292" customFormat="1" ht="15.75" customHeight="1">
      <c r="A52" s="1421" t="s">
        <v>251</v>
      </c>
      <c r="B52" s="1799" t="s">
        <v>989</v>
      </c>
      <c r="C52" s="1800"/>
      <c r="D52" s="1428">
        <f t="shared" ref="D52:O52" si="25">D53+D54</f>
        <v>1.4905999999999999</v>
      </c>
      <c r="E52" s="1429">
        <f t="shared" si="25"/>
        <v>1.5794999999999999</v>
      </c>
      <c r="F52" s="1428">
        <f t="shared" si="25"/>
        <v>0</v>
      </c>
      <c r="G52" s="1429">
        <f t="shared" si="25"/>
        <v>0</v>
      </c>
      <c r="H52" s="1428">
        <f t="shared" si="25"/>
        <v>0.73099999999999998</v>
      </c>
      <c r="I52" s="1429">
        <f t="shared" si="25"/>
        <v>0.73099999999999998</v>
      </c>
      <c r="J52" s="1428">
        <f t="shared" si="25"/>
        <v>0</v>
      </c>
      <c r="K52" s="1429">
        <f t="shared" si="25"/>
        <v>0</v>
      </c>
      <c r="L52" s="1428">
        <f t="shared" si="25"/>
        <v>0.27101818181818182</v>
      </c>
      <c r="M52" s="1429">
        <f t="shared" si="25"/>
        <v>0.28720000000000001</v>
      </c>
      <c r="N52" s="1428">
        <f t="shared" si="25"/>
        <v>0</v>
      </c>
      <c r="O52" s="1430">
        <f t="shared" si="25"/>
        <v>0</v>
      </c>
      <c r="U52" s="1420">
        <f>D52*1000/L52</f>
        <v>5499.9999999999991</v>
      </c>
      <c r="V52" s="1420">
        <f>E52*1000/M52</f>
        <v>5499.6518105849582</v>
      </c>
      <c r="W52" s="1420" t="e">
        <f>F52*1000/N52</f>
        <v>#DIV/0!</v>
      </c>
      <c r="X52" s="1420" t="e">
        <f>G52*1000/O52</f>
        <v>#DIV/0!</v>
      </c>
    </row>
    <row r="53" spans="1:24" s="1292" customFormat="1" ht="15.75" customHeight="1">
      <c r="A53" s="1421"/>
      <c r="B53" s="1797" t="s">
        <v>655</v>
      </c>
      <c r="C53" s="1798"/>
      <c r="D53" s="1425"/>
      <c r="E53" s="1426"/>
      <c r="F53" s="1425"/>
      <c r="G53" s="1426"/>
      <c r="H53" s="1425"/>
      <c r="I53" s="1426"/>
      <c r="J53" s="1425"/>
      <c r="K53" s="1426"/>
      <c r="L53" s="1425"/>
      <c r="M53" s="1426"/>
      <c r="N53" s="1425"/>
      <c r="O53" s="1427"/>
      <c r="V53" s="1294"/>
    </row>
    <row r="54" spans="1:24" s="1292" customFormat="1" ht="15.75" customHeight="1">
      <c r="A54" s="1421"/>
      <c r="B54" s="1797" t="s">
        <v>656</v>
      </c>
      <c r="C54" s="1798"/>
      <c r="D54" s="1425">
        <f>ROUND(1.490559,4)</f>
        <v>1.4905999999999999</v>
      </c>
      <c r="E54" s="1426">
        <f>ROUND(1.57948807361302,4)</f>
        <v>1.5794999999999999</v>
      </c>
      <c r="F54" s="1425"/>
      <c r="G54" s="1426"/>
      <c r="H54" s="1431">
        <f>ROUND(0.730984414324888,4)</f>
        <v>0.73099999999999998</v>
      </c>
      <c r="I54" s="1431">
        <f>ROUND(0.730984414324888,4)</f>
        <v>0.73099999999999998</v>
      </c>
      <c r="J54" s="1425"/>
      <c r="K54" s="1426"/>
      <c r="L54" s="1425">
        <f>D54/5.5</f>
        <v>0.27101818181818182</v>
      </c>
      <c r="M54" s="1425">
        <f>ROUND(E54/5.5,4)</f>
        <v>0.28720000000000001</v>
      </c>
      <c r="N54" s="1425"/>
      <c r="O54" s="1427"/>
      <c r="V54" s="1294"/>
    </row>
    <row r="55" spans="1:24" s="1292" customFormat="1" ht="15.75" customHeight="1">
      <c r="A55" s="1421" t="s">
        <v>253</v>
      </c>
      <c r="B55" s="1799" t="s">
        <v>990</v>
      </c>
      <c r="C55" s="1800"/>
      <c r="D55" s="1428">
        <f t="shared" ref="D55:O55" si="26">D56+D57</f>
        <v>20.492899999999999</v>
      </c>
      <c r="E55" s="1429">
        <f t="shared" si="26"/>
        <v>21.715699999999998</v>
      </c>
      <c r="F55" s="1428">
        <f t="shared" si="26"/>
        <v>0</v>
      </c>
      <c r="G55" s="1429">
        <f t="shared" si="26"/>
        <v>0</v>
      </c>
      <c r="H55" s="1432">
        <f t="shared" si="26"/>
        <v>10.049899999999999</v>
      </c>
      <c r="I55" s="1430">
        <f t="shared" si="26"/>
        <v>10.049899999999999</v>
      </c>
      <c r="J55" s="1428">
        <f t="shared" si="26"/>
        <v>0</v>
      </c>
      <c r="K55" s="1429">
        <f t="shared" si="26"/>
        <v>0</v>
      </c>
      <c r="L55" s="1428">
        <f t="shared" si="26"/>
        <v>3.7259818181818178</v>
      </c>
      <c r="M55" s="1429">
        <f t="shared" si="26"/>
        <v>3.9483000000000001</v>
      </c>
      <c r="N55" s="1428">
        <f t="shared" si="26"/>
        <v>0</v>
      </c>
      <c r="O55" s="1430">
        <f t="shared" si="26"/>
        <v>0</v>
      </c>
      <c r="U55" s="1420">
        <f>D55*1000/L55</f>
        <v>5500</v>
      </c>
      <c r="V55" s="1420">
        <f>E55*1000/M55</f>
        <v>5500.0126636780378</v>
      </c>
      <c r="W55" s="1420" t="e">
        <f>F55*1000/N55</f>
        <v>#DIV/0!</v>
      </c>
      <c r="X55" s="1420" t="e">
        <f>G55*1000/O55</f>
        <v>#DIV/0!</v>
      </c>
    </row>
    <row r="56" spans="1:24" s="1292" customFormat="1" ht="15.75" customHeight="1">
      <c r="A56" s="1421"/>
      <c r="B56" s="1797" t="s">
        <v>655</v>
      </c>
      <c r="C56" s="1798"/>
      <c r="D56" s="1425"/>
      <c r="E56" s="1426"/>
      <c r="F56" s="1425"/>
      <c r="G56" s="1426"/>
      <c r="H56" s="1431"/>
      <c r="I56" s="1427"/>
      <c r="J56" s="1425"/>
      <c r="K56" s="1426"/>
      <c r="L56" s="1425"/>
      <c r="M56" s="1426"/>
      <c r="N56" s="1425"/>
      <c r="O56" s="1427"/>
      <c r="V56" s="1294"/>
    </row>
    <row r="57" spans="1:24" s="1292" customFormat="1" ht="15.75" customHeight="1">
      <c r="A57" s="1421"/>
      <c r="B57" s="1797" t="s">
        <v>656</v>
      </c>
      <c r="C57" s="1798"/>
      <c r="D57" s="1425">
        <f>ROUND(20.492943,4)</f>
        <v>20.492899999999999</v>
      </c>
      <c r="E57" s="1426">
        <f>ROUND(21.715583926387+0.0001,4)</f>
        <v>21.715699999999998</v>
      </c>
      <c r="F57" s="1425"/>
      <c r="G57" s="1426"/>
      <c r="H57" s="1431">
        <f>ROUND(10.0499355856751,4)</f>
        <v>10.049899999999999</v>
      </c>
      <c r="I57" s="1431">
        <f>ROUND(10.0499355856751,4)</f>
        <v>10.049899999999999</v>
      </c>
      <c r="J57" s="1425"/>
      <c r="K57" s="1426"/>
      <c r="L57" s="1425">
        <f>D57/5.5</f>
        <v>3.7259818181818178</v>
      </c>
      <c r="M57" s="1425">
        <f>ROUND(E57/5.5,4)</f>
        <v>3.9483000000000001</v>
      </c>
      <c r="N57" s="1425"/>
      <c r="O57" s="1427"/>
      <c r="V57" s="1294"/>
    </row>
    <row r="58" spans="1:24" s="1292" customFormat="1" ht="15.75" customHeight="1">
      <c r="A58" s="1433" t="s">
        <v>254</v>
      </c>
      <c r="B58" s="1799" t="s">
        <v>991</v>
      </c>
      <c r="C58" s="1800"/>
      <c r="D58" s="1428">
        <f t="shared" ref="D58:O58" si="27">D59+D60</f>
        <v>21.983499999999999</v>
      </c>
      <c r="E58" s="1429">
        <f>E59+E60</f>
        <v>23.295199999999998</v>
      </c>
      <c r="F58" s="1428">
        <f t="shared" si="27"/>
        <v>0</v>
      </c>
      <c r="G58" s="1429">
        <f t="shared" si="27"/>
        <v>0</v>
      </c>
      <c r="H58" s="1428">
        <f t="shared" si="27"/>
        <v>10.780899999999999</v>
      </c>
      <c r="I58" s="1429">
        <f t="shared" si="27"/>
        <v>10.780899999999999</v>
      </c>
      <c r="J58" s="1428">
        <f t="shared" si="27"/>
        <v>0</v>
      </c>
      <c r="K58" s="1429">
        <f t="shared" si="27"/>
        <v>0</v>
      </c>
      <c r="L58" s="1428">
        <f t="shared" si="27"/>
        <v>3.9969999999999999</v>
      </c>
      <c r="M58" s="1429">
        <f t="shared" si="27"/>
        <v>4.2355</v>
      </c>
      <c r="N58" s="1428">
        <f t="shared" si="27"/>
        <v>0</v>
      </c>
      <c r="O58" s="1430">
        <f t="shared" si="27"/>
        <v>0</v>
      </c>
      <c r="U58" s="1420">
        <f>D58*1000/L58</f>
        <v>5500</v>
      </c>
      <c r="V58" s="1420">
        <f>E58*1000/M58</f>
        <v>5499.9881950182971</v>
      </c>
      <c r="W58" s="1420" t="e">
        <f>F58*1000/N58</f>
        <v>#DIV/0!</v>
      </c>
      <c r="X58" s="1420" t="e">
        <f>G58*1000/O58</f>
        <v>#DIV/0!</v>
      </c>
    </row>
    <row r="59" spans="1:24" s="1292" customFormat="1" ht="15.75" customHeight="1">
      <c r="A59" s="1421"/>
      <c r="B59" s="1797" t="s">
        <v>655</v>
      </c>
      <c r="C59" s="1798"/>
      <c r="D59" s="1428">
        <f t="shared" ref="D59:O60" si="28">D47+D50+D53+D56</f>
        <v>0</v>
      </c>
      <c r="E59" s="1429">
        <f t="shared" si="28"/>
        <v>0</v>
      </c>
      <c r="F59" s="1428">
        <f t="shared" si="28"/>
        <v>0</v>
      </c>
      <c r="G59" s="1429">
        <f t="shared" si="28"/>
        <v>0</v>
      </c>
      <c r="H59" s="1428">
        <f t="shared" si="28"/>
        <v>0</v>
      </c>
      <c r="I59" s="1429">
        <f t="shared" si="28"/>
        <v>0</v>
      </c>
      <c r="J59" s="1428">
        <f t="shared" si="28"/>
        <v>0</v>
      </c>
      <c r="K59" s="1429">
        <f t="shared" si="28"/>
        <v>0</v>
      </c>
      <c r="L59" s="1428">
        <f t="shared" si="28"/>
        <v>0</v>
      </c>
      <c r="M59" s="1429">
        <f t="shared" si="28"/>
        <v>0</v>
      </c>
      <c r="N59" s="1428">
        <f t="shared" si="28"/>
        <v>0</v>
      </c>
      <c r="O59" s="1430">
        <f t="shared" si="28"/>
        <v>0</v>
      </c>
      <c r="V59" s="1294"/>
    </row>
    <row r="60" spans="1:24" s="1292" customFormat="1" ht="15.75" customHeight="1" thickBot="1">
      <c r="A60" s="1400"/>
      <c r="B60" s="1801" t="s">
        <v>656</v>
      </c>
      <c r="C60" s="1802"/>
      <c r="D60" s="1434">
        <f t="shared" si="28"/>
        <v>21.983499999999999</v>
      </c>
      <c r="E60" s="1435">
        <f>E48+E51+E54+E57</f>
        <v>23.295199999999998</v>
      </c>
      <c r="F60" s="1434">
        <f t="shared" si="28"/>
        <v>0</v>
      </c>
      <c r="G60" s="1435">
        <f t="shared" si="28"/>
        <v>0</v>
      </c>
      <c r="H60" s="1434">
        <f t="shared" si="28"/>
        <v>10.780899999999999</v>
      </c>
      <c r="I60" s="1435">
        <f t="shared" si="28"/>
        <v>10.780899999999999</v>
      </c>
      <c r="J60" s="1434">
        <f t="shared" si="28"/>
        <v>0</v>
      </c>
      <c r="K60" s="1435">
        <f t="shared" si="28"/>
        <v>0</v>
      </c>
      <c r="L60" s="1434">
        <f t="shared" si="28"/>
        <v>3.9969999999999999</v>
      </c>
      <c r="M60" s="1435">
        <f>M48+M51+M54+M57</f>
        <v>4.2355</v>
      </c>
      <c r="N60" s="1434">
        <f t="shared" si="28"/>
        <v>0</v>
      </c>
      <c r="O60" s="1436">
        <f t="shared" si="28"/>
        <v>0</v>
      </c>
      <c r="P60" s="1437"/>
      <c r="Q60" s="1437"/>
      <c r="V60" s="1294"/>
    </row>
    <row r="61" spans="1:24" ht="14.25" customHeight="1" thickBot="1">
      <c r="A61" s="1103"/>
      <c r="B61" s="1103"/>
      <c r="C61" s="1103"/>
      <c r="D61" s="1103"/>
      <c r="F61" s="1103"/>
      <c r="G61" s="1103"/>
      <c r="H61" s="1103"/>
      <c r="I61" s="1103"/>
      <c r="J61" s="1103"/>
      <c r="K61" s="1103"/>
      <c r="L61" s="1104"/>
      <c r="M61" s="1104"/>
      <c r="N61" s="1103"/>
      <c r="O61" s="1103"/>
    </row>
    <row r="62" spans="1:24" s="1292" customFormat="1" ht="14.25" customHeight="1" thickBot="1">
      <c r="A62" s="1785" t="s">
        <v>992</v>
      </c>
      <c r="B62" s="1786"/>
      <c r="C62" s="1786"/>
      <c r="D62" s="1786"/>
      <c r="E62" s="1786"/>
      <c r="F62" s="1786"/>
      <c r="G62" s="1786"/>
      <c r="H62" s="1786"/>
      <c r="I62" s="1786"/>
      <c r="J62" s="1786"/>
      <c r="K62" s="1786"/>
      <c r="L62" s="1786"/>
      <c r="M62" s="1786"/>
      <c r="N62" s="1786"/>
      <c r="O62" s="1787"/>
      <c r="W62" s="1294"/>
    </row>
    <row r="63" spans="1:24" s="1292" customFormat="1" ht="78.75" customHeight="1" thickBot="1">
      <c r="A63" s="1755" t="s">
        <v>244</v>
      </c>
      <c r="B63" s="1755" t="s">
        <v>981</v>
      </c>
      <c r="C63" s="1755"/>
      <c r="D63" s="1758" t="s">
        <v>982</v>
      </c>
      <c r="E63" s="1758"/>
      <c r="F63" s="1758" t="s">
        <v>983</v>
      </c>
      <c r="G63" s="1758"/>
      <c r="H63" s="1758" t="s">
        <v>984</v>
      </c>
      <c r="I63" s="1758"/>
      <c r="J63" s="1758" t="s">
        <v>1326</v>
      </c>
      <c r="K63" s="1758"/>
      <c r="L63" s="1758" t="s">
        <v>986</v>
      </c>
      <c r="M63" s="1758"/>
      <c r="N63" s="1758" t="s">
        <v>1385</v>
      </c>
      <c r="O63" s="1758"/>
      <c r="V63" s="1294"/>
    </row>
    <row r="64" spans="1:24" s="1292" customFormat="1" ht="17.25" customHeight="1" thickBot="1">
      <c r="A64" s="1755" t="s">
        <v>969</v>
      </c>
      <c r="B64" s="1755"/>
      <c r="C64" s="1755"/>
      <c r="D64" s="1378" t="s">
        <v>1381</v>
      </c>
      <c r="E64" s="1378" t="s">
        <v>1382</v>
      </c>
      <c r="F64" s="1378" t="s">
        <v>1381</v>
      </c>
      <c r="G64" s="1378" t="s">
        <v>1382</v>
      </c>
      <c r="H64" s="1378" t="s">
        <v>1381</v>
      </c>
      <c r="I64" s="1378" t="s">
        <v>1382</v>
      </c>
      <c r="J64" s="1378" t="s">
        <v>1381</v>
      </c>
      <c r="K64" s="1378" t="s">
        <v>1382</v>
      </c>
      <c r="L64" s="1378" t="s">
        <v>1381</v>
      </c>
      <c r="M64" s="1378" t="s">
        <v>1382</v>
      </c>
      <c r="N64" s="1378" t="s">
        <v>1381</v>
      </c>
      <c r="O64" s="1378" t="s">
        <v>1382</v>
      </c>
      <c r="V64" s="1294"/>
    </row>
    <row r="65" spans="1:24" s="1292" customFormat="1" ht="16.5" customHeight="1">
      <c r="A65" s="1438" t="s">
        <v>250</v>
      </c>
      <c r="B65" s="1795" t="s">
        <v>987</v>
      </c>
      <c r="C65" s="1796"/>
      <c r="D65" s="1439">
        <f t="shared" ref="D65:O65" si="29">D66+D67</f>
        <v>0</v>
      </c>
      <c r="E65" s="1418">
        <f t="shared" si="29"/>
        <v>0</v>
      </c>
      <c r="F65" s="1439">
        <f t="shared" si="29"/>
        <v>0</v>
      </c>
      <c r="G65" s="1418">
        <f t="shared" si="29"/>
        <v>0</v>
      </c>
      <c r="H65" s="1440">
        <f t="shared" si="29"/>
        <v>0</v>
      </c>
      <c r="I65" s="1418">
        <f t="shared" si="29"/>
        <v>0</v>
      </c>
      <c r="J65" s="1439">
        <f t="shared" si="29"/>
        <v>0</v>
      </c>
      <c r="K65" s="1418">
        <f t="shared" si="29"/>
        <v>0</v>
      </c>
      <c r="L65" s="1439">
        <f t="shared" si="29"/>
        <v>0</v>
      </c>
      <c r="M65" s="1418">
        <f t="shared" si="29"/>
        <v>0</v>
      </c>
      <c r="N65" s="1439">
        <f t="shared" si="29"/>
        <v>0</v>
      </c>
      <c r="O65" s="1418">
        <f t="shared" si="29"/>
        <v>0</v>
      </c>
      <c r="U65" s="1420" t="e">
        <f>D65*1000/L65</f>
        <v>#DIV/0!</v>
      </c>
      <c r="V65" s="1420" t="e">
        <f>E65*1000/M65</f>
        <v>#DIV/0!</v>
      </c>
      <c r="W65" s="1420" t="e">
        <f>F65*1000/N65</f>
        <v>#DIV/0!</v>
      </c>
      <c r="X65" s="1420" t="e">
        <f>G65*1000/O65</f>
        <v>#DIV/0!</v>
      </c>
    </row>
    <row r="66" spans="1:24" s="1292" customFormat="1" ht="16.5" customHeight="1">
      <c r="A66" s="1441"/>
      <c r="B66" s="1797" t="s">
        <v>655</v>
      </c>
      <c r="C66" s="1798"/>
      <c r="D66" s="1442"/>
      <c r="E66" s="1443"/>
      <c r="F66" s="1442"/>
      <c r="G66" s="1444"/>
      <c r="H66" s="1445"/>
      <c r="I66" s="1443"/>
      <c r="J66" s="1442"/>
      <c r="K66" s="1443"/>
      <c r="L66" s="1442"/>
      <c r="M66" s="1443"/>
      <c r="N66" s="1442"/>
      <c r="O66" s="1444"/>
      <c r="V66" s="1294"/>
    </row>
    <row r="67" spans="1:24" s="1292" customFormat="1" ht="16.5" customHeight="1">
      <c r="A67" s="1441"/>
      <c r="B67" s="1797" t="s">
        <v>656</v>
      </c>
      <c r="C67" s="1798"/>
      <c r="D67" s="1446"/>
      <c r="E67" s="1447"/>
      <c r="F67" s="1446"/>
      <c r="G67" s="1448"/>
      <c r="H67" s="1449"/>
      <c r="I67" s="1447"/>
      <c r="J67" s="1446"/>
      <c r="K67" s="1447"/>
      <c r="L67" s="1446"/>
      <c r="M67" s="1447"/>
      <c r="N67" s="1446"/>
      <c r="O67" s="1448"/>
      <c r="V67" s="1294"/>
    </row>
    <row r="68" spans="1:24" s="1292" customFormat="1" ht="16.5" customHeight="1">
      <c r="A68" s="1441" t="s">
        <v>246</v>
      </c>
      <c r="B68" s="1799" t="s">
        <v>988</v>
      </c>
      <c r="C68" s="1800"/>
      <c r="D68" s="1428">
        <f t="shared" ref="D68:O68" si="30">D69+D70</f>
        <v>0</v>
      </c>
      <c r="E68" s="1429">
        <f t="shared" si="30"/>
        <v>0</v>
      </c>
      <c r="F68" s="1428">
        <f t="shared" si="30"/>
        <v>0</v>
      </c>
      <c r="G68" s="1430">
        <f t="shared" si="30"/>
        <v>0</v>
      </c>
      <c r="H68" s="1450">
        <f t="shared" si="30"/>
        <v>0</v>
      </c>
      <c r="I68" s="1429">
        <f t="shared" si="30"/>
        <v>0</v>
      </c>
      <c r="J68" s="1428">
        <f t="shared" si="30"/>
        <v>0</v>
      </c>
      <c r="K68" s="1429">
        <f t="shared" si="30"/>
        <v>0</v>
      </c>
      <c r="L68" s="1428">
        <f t="shared" si="30"/>
        <v>0</v>
      </c>
      <c r="M68" s="1429">
        <f t="shared" si="30"/>
        <v>0</v>
      </c>
      <c r="N68" s="1428">
        <f t="shared" si="30"/>
        <v>0</v>
      </c>
      <c r="O68" s="1430">
        <f t="shared" si="30"/>
        <v>0</v>
      </c>
      <c r="U68" s="1420" t="e">
        <f>D68*1000/L68</f>
        <v>#DIV/0!</v>
      </c>
      <c r="V68" s="1420" t="e">
        <f>E68*1000/M68</f>
        <v>#DIV/0!</v>
      </c>
      <c r="W68" s="1420" t="e">
        <f>F68*1000/N68</f>
        <v>#DIV/0!</v>
      </c>
      <c r="X68" s="1420" t="e">
        <f>G68*1000/O68</f>
        <v>#DIV/0!</v>
      </c>
    </row>
    <row r="69" spans="1:24" s="1292" customFormat="1" ht="16.5" customHeight="1">
      <c r="A69" s="1441"/>
      <c r="B69" s="1797" t="s">
        <v>655</v>
      </c>
      <c r="C69" s="1798"/>
      <c r="D69" s="1425"/>
      <c r="E69" s="1426"/>
      <c r="F69" s="1425"/>
      <c r="G69" s="1427"/>
      <c r="H69" s="1451"/>
      <c r="I69" s="1426"/>
      <c r="J69" s="1425"/>
      <c r="K69" s="1426"/>
      <c r="L69" s="1425"/>
      <c r="M69" s="1426"/>
      <c r="N69" s="1425"/>
      <c r="O69" s="1427"/>
      <c r="V69" s="1294"/>
    </row>
    <row r="70" spans="1:24" s="1292" customFormat="1" ht="16.5" customHeight="1">
      <c r="A70" s="1441"/>
      <c r="B70" s="1797" t="s">
        <v>656</v>
      </c>
      <c r="C70" s="1798"/>
      <c r="D70" s="1425"/>
      <c r="E70" s="1426"/>
      <c r="F70" s="1425"/>
      <c r="G70" s="1427"/>
      <c r="H70" s="1451"/>
      <c r="I70" s="1426"/>
      <c r="J70" s="1425"/>
      <c r="K70" s="1426"/>
      <c r="L70" s="1425"/>
      <c r="M70" s="1426"/>
      <c r="N70" s="1425"/>
      <c r="O70" s="1427"/>
      <c r="V70" s="1294"/>
    </row>
    <row r="71" spans="1:24" s="1292" customFormat="1" ht="16.5" customHeight="1">
      <c r="A71" s="1441" t="s">
        <v>251</v>
      </c>
      <c r="B71" s="1799" t="s">
        <v>989</v>
      </c>
      <c r="C71" s="1800"/>
      <c r="D71" s="1428">
        <f t="shared" ref="D71:O71" si="31">D72+D73</f>
        <v>7.8491999999999997</v>
      </c>
      <c r="E71" s="1429">
        <f t="shared" si="31"/>
        <v>8.2334999999999994</v>
      </c>
      <c r="F71" s="1428">
        <f t="shared" si="31"/>
        <v>0</v>
      </c>
      <c r="G71" s="1430">
        <f t="shared" si="31"/>
        <v>0</v>
      </c>
      <c r="H71" s="1450">
        <f t="shared" si="31"/>
        <v>3.8104</v>
      </c>
      <c r="I71" s="1429">
        <f t="shared" si="31"/>
        <v>3.8104</v>
      </c>
      <c r="J71" s="1428">
        <f t="shared" si="31"/>
        <v>0</v>
      </c>
      <c r="K71" s="1429">
        <f t="shared" si="31"/>
        <v>0</v>
      </c>
      <c r="L71" s="1428">
        <f t="shared" si="31"/>
        <v>1.4271272727272726</v>
      </c>
      <c r="M71" s="1429">
        <f>M72+M73</f>
        <v>1.4970000000000001</v>
      </c>
      <c r="N71" s="1428">
        <f t="shared" si="31"/>
        <v>0</v>
      </c>
      <c r="O71" s="1430">
        <f t="shared" si="31"/>
        <v>0</v>
      </c>
      <c r="U71" s="1420">
        <f>D71*1000/L71</f>
        <v>5500</v>
      </c>
      <c r="V71" s="1420">
        <f>E71*1000/M71</f>
        <v>5500</v>
      </c>
      <c r="W71" s="1420" t="e">
        <f>F71*1000/N71</f>
        <v>#DIV/0!</v>
      </c>
      <c r="X71" s="1420" t="e">
        <f>G71*1000/O71</f>
        <v>#DIV/0!</v>
      </c>
    </row>
    <row r="72" spans="1:24" s="1292" customFormat="1" ht="16.5" customHeight="1">
      <c r="A72" s="1441"/>
      <c r="B72" s="1797" t="s">
        <v>655</v>
      </c>
      <c r="C72" s="1798"/>
      <c r="D72" s="1425"/>
      <c r="E72" s="1426"/>
      <c r="F72" s="1425"/>
      <c r="G72" s="1427"/>
      <c r="H72" s="1451"/>
      <c r="I72" s="1426"/>
      <c r="J72" s="1425"/>
      <c r="K72" s="1426"/>
      <c r="L72" s="1425"/>
      <c r="M72" s="1426"/>
      <c r="N72" s="1425"/>
      <c r="O72" s="1427"/>
      <c r="V72" s="1294"/>
    </row>
    <row r="73" spans="1:24" s="1292" customFormat="1" ht="16.5" customHeight="1">
      <c r="A73" s="1441"/>
      <c r="B73" s="1797" t="s">
        <v>656</v>
      </c>
      <c r="C73" s="1798"/>
      <c r="D73" s="1425">
        <f>ROUND(7.84924,4)</f>
        <v>7.8491999999999997</v>
      </c>
      <c r="E73" s="1426">
        <f>ROUND(8.23339970735363+0.0001,4)</f>
        <v>8.2334999999999994</v>
      </c>
      <c r="F73" s="1425"/>
      <c r="G73" s="1427"/>
      <c r="H73" s="1451">
        <f>ROUND(3.81040348675475,4)</f>
        <v>3.8104</v>
      </c>
      <c r="I73" s="1425">
        <v>3.8104</v>
      </c>
      <c r="J73" s="1425"/>
      <c r="K73" s="1426"/>
      <c r="L73" s="1425">
        <f>D73/5.5</f>
        <v>1.4271272727272726</v>
      </c>
      <c r="M73" s="1425">
        <f>ROUND(E73/5.5,4)</f>
        <v>1.4970000000000001</v>
      </c>
      <c r="N73" s="1425"/>
      <c r="O73" s="1427"/>
      <c r="Q73" s="1292">
        <f>E73/E79</f>
        <v>0.35344191077990311</v>
      </c>
      <c r="V73" s="1294"/>
    </row>
    <row r="74" spans="1:24" s="1292" customFormat="1" ht="16.5" customHeight="1">
      <c r="A74" s="1441" t="s">
        <v>253</v>
      </c>
      <c r="B74" s="1799" t="s">
        <v>990</v>
      </c>
      <c r="C74" s="1800"/>
      <c r="D74" s="1428">
        <f t="shared" ref="D74:O74" si="32">D75+D76</f>
        <v>14.1343</v>
      </c>
      <c r="E74" s="1429">
        <f t="shared" si="32"/>
        <v>15.0617</v>
      </c>
      <c r="F74" s="1428">
        <f t="shared" si="32"/>
        <v>0</v>
      </c>
      <c r="G74" s="1430">
        <f t="shared" si="32"/>
        <v>0</v>
      </c>
      <c r="H74" s="1450">
        <f t="shared" si="32"/>
        <v>6.9705000000000004</v>
      </c>
      <c r="I74" s="1429">
        <f t="shared" si="32"/>
        <v>6.9705000000000004</v>
      </c>
      <c r="J74" s="1428">
        <f t="shared" si="32"/>
        <v>0</v>
      </c>
      <c r="K74" s="1429">
        <f t="shared" si="32"/>
        <v>0</v>
      </c>
      <c r="L74" s="1428">
        <f t="shared" si="32"/>
        <v>2.5698727272727271</v>
      </c>
      <c r="M74" s="1429">
        <f>M75+M76</f>
        <v>2.7385000000000002</v>
      </c>
      <c r="N74" s="1428">
        <f t="shared" si="32"/>
        <v>0</v>
      </c>
      <c r="O74" s="1430">
        <f t="shared" si="32"/>
        <v>0</v>
      </c>
      <c r="U74" s="1420">
        <f>D74*1000/L74</f>
        <v>5500</v>
      </c>
      <c r="V74" s="1420">
        <f>E74*1000/M74</f>
        <v>5499.9817418294688</v>
      </c>
      <c r="W74" s="1420" t="e">
        <f>F74*1000/N74</f>
        <v>#DIV/0!</v>
      </c>
      <c r="X74" s="1420" t="e">
        <f>G74*1000/O74</f>
        <v>#DIV/0!</v>
      </c>
    </row>
    <row r="75" spans="1:24" s="1292" customFormat="1" ht="16.5" customHeight="1">
      <c r="A75" s="1441"/>
      <c r="B75" s="1797" t="s">
        <v>655</v>
      </c>
      <c r="C75" s="1798"/>
      <c r="D75" s="1425"/>
      <c r="E75" s="1426"/>
      <c r="F75" s="1425"/>
      <c r="G75" s="1427"/>
      <c r="H75" s="1451"/>
      <c r="I75" s="1426"/>
      <c r="J75" s="1425"/>
      <c r="K75" s="1426"/>
      <c r="L75" s="1425"/>
      <c r="M75" s="1426"/>
      <c r="N75" s="1425"/>
      <c r="O75" s="1427"/>
      <c r="V75" s="1294"/>
    </row>
    <row r="76" spans="1:24" s="1292" customFormat="1" ht="16.5" customHeight="1">
      <c r="A76" s="1441"/>
      <c r="B76" s="1797" t="s">
        <v>656</v>
      </c>
      <c r="C76" s="1798"/>
      <c r="D76" s="1425">
        <f>ROUND(14.134262,4)</f>
        <v>14.1343</v>
      </c>
      <c r="E76" s="1426">
        <f>ROUND(15.0616722926464,4)</f>
        <v>15.0617</v>
      </c>
      <c r="F76" s="1425"/>
      <c r="G76" s="1427"/>
      <c r="H76" s="1452">
        <f>ROUND(6.97051651324525,4)</f>
        <v>6.9705000000000004</v>
      </c>
      <c r="I76" s="1425">
        <v>6.9705000000000004</v>
      </c>
      <c r="J76" s="1425"/>
      <c r="K76" s="1426"/>
      <c r="L76" s="1425">
        <f>D76/5.5</f>
        <v>2.5698727272727271</v>
      </c>
      <c r="M76" s="1425">
        <f>ROUND(E76/5.5,4)</f>
        <v>2.7385000000000002</v>
      </c>
      <c r="N76" s="1425"/>
      <c r="O76" s="1427"/>
      <c r="Q76" s="1292">
        <f>E76/E79</f>
        <v>0.64655808922009683</v>
      </c>
      <c r="R76" s="1507"/>
      <c r="V76" s="1294"/>
    </row>
    <row r="77" spans="1:24" s="1292" customFormat="1" ht="16.5" customHeight="1">
      <c r="A77" s="1453" t="s">
        <v>254</v>
      </c>
      <c r="B77" s="1799" t="s">
        <v>991</v>
      </c>
      <c r="C77" s="1800"/>
      <c r="D77" s="1428">
        <f t="shared" ref="D77:O77" si="33">D78+D79</f>
        <v>21.983499999999999</v>
      </c>
      <c r="E77" s="1429">
        <f t="shared" si="33"/>
        <v>23.295200000000001</v>
      </c>
      <c r="F77" s="1428">
        <f t="shared" si="33"/>
        <v>0</v>
      </c>
      <c r="G77" s="1430">
        <f t="shared" si="33"/>
        <v>0</v>
      </c>
      <c r="H77" s="1450">
        <f t="shared" si="33"/>
        <v>10.780900000000001</v>
      </c>
      <c r="I77" s="1429">
        <f t="shared" si="33"/>
        <v>10.780900000000001</v>
      </c>
      <c r="J77" s="1428">
        <f t="shared" si="33"/>
        <v>0</v>
      </c>
      <c r="K77" s="1429">
        <f t="shared" si="33"/>
        <v>0</v>
      </c>
      <c r="L77" s="1428">
        <f>L78+L79</f>
        <v>3.9969999999999999</v>
      </c>
      <c r="M77" s="1429">
        <f t="shared" si="33"/>
        <v>4.2355</v>
      </c>
      <c r="N77" s="1428">
        <f t="shared" si="33"/>
        <v>0</v>
      </c>
      <c r="O77" s="1430">
        <f t="shared" si="33"/>
        <v>0</v>
      </c>
      <c r="U77" s="1420">
        <f>D77*1000/L77</f>
        <v>5500</v>
      </c>
      <c r="V77" s="1420">
        <f>E77*1000/M77</f>
        <v>5499.988195018298</v>
      </c>
      <c r="W77" s="1420" t="e">
        <f>F77*1000/N77</f>
        <v>#DIV/0!</v>
      </c>
      <c r="X77" s="1420" t="e">
        <f>G77*1000/O77</f>
        <v>#DIV/0!</v>
      </c>
    </row>
    <row r="78" spans="1:24" s="1292" customFormat="1" ht="16.5" customHeight="1">
      <c r="A78" s="1441"/>
      <c r="B78" s="1797" t="s">
        <v>655</v>
      </c>
      <c r="C78" s="1798"/>
      <c r="D78" s="1428">
        <f t="shared" ref="D78:O79" si="34">D66+D69+D72+D75</f>
        <v>0</v>
      </c>
      <c r="E78" s="1429">
        <f t="shared" si="34"/>
        <v>0</v>
      </c>
      <c r="F78" s="1428">
        <f t="shared" si="34"/>
        <v>0</v>
      </c>
      <c r="G78" s="1430">
        <f t="shared" si="34"/>
        <v>0</v>
      </c>
      <c r="H78" s="1450">
        <f t="shared" si="34"/>
        <v>0</v>
      </c>
      <c r="I78" s="1429">
        <f t="shared" si="34"/>
        <v>0</v>
      </c>
      <c r="J78" s="1428">
        <f t="shared" si="34"/>
        <v>0</v>
      </c>
      <c r="K78" s="1429">
        <f t="shared" si="34"/>
        <v>0</v>
      </c>
      <c r="L78" s="1428">
        <f t="shared" si="34"/>
        <v>0</v>
      </c>
      <c r="M78" s="1429">
        <f t="shared" si="34"/>
        <v>0</v>
      </c>
      <c r="N78" s="1428">
        <f t="shared" si="34"/>
        <v>0</v>
      </c>
      <c r="O78" s="1430">
        <f t="shared" si="34"/>
        <v>0</v>
      </c>
      <c r="V78" s="1294"/>
    </row>
    <row r="79" spans="1:24" s="1292" customFormat="1" ht="16.5" customHeight="1" thickBot="1">
      <c r="A79" s="1454"/>
      <c r="B79" s="1801" t="s">
        <v>656</v>
      </c>
      <c r="C79" s="1802"/>
      <c r="D79" s="1434">
        <f>D67+D70+D73+D76</f>
        <v>21.983499999999999</v>
      </c>
      <c r="E79" s="1435">
        <f t="shared" si="34"/>
        <v>23.295200000000001</v>
      </c>
      <c r="F79" s="1434">
        <f t="shared" si="34"/>
        <v>0</v>
      </c>
      <c r="G79" s="1436">
        <f t="shared" si="34"/>
        <v>0</v>
      </c>
      <c r="H79" s="1455">
        <f t="shared" si="34"/>
        <v>10.780900000000001</v>
      </c>
      <c r="I79" s="1435">
        <f>ROUND(I67+I70+I73+I76,4)</f>
        <v>10.780900000000001</v>
      </c>
      <c r="J79" s="1434">
        <f t="shared" si="34"/>
        <v>0</v>
      </c>
      <c r="K79" s="1435">
        <f t="shared" si="34"/>
        <v>0</v>
      </c>
      <c r="L79" s="1434">
        <f t="shared" si="34"/>
        <v>3.9969999999999999</v>
      </c>
      <c r="M79" s="1435">
        <f>ROUND(M67+M70+M73+M76,4)</f>
        <v>4.2355</v>
      </c>
      <c r="N79" s="1434">
        <f t="shared" si="34"/>
        <v>0</v>
      </c>
      <c r="O79" s="1436">
        <f t="shared" si="34"/>
        <v>0</v>
      </c>
      <c r="V79" s="1294"/>
    </row>
    <row r="80" spans="1:24" s="1292" customFormat="1" ht="15.75">
      <c r="W80" s="1294"/>
    </row>
    <row r="81" spans="1:23" s="1292" customFormat="1" ht="16.5" thickBot="1">
      <c r="A81" s="1456" t="s">
        <v>253</v>
      </c>
      <c r="B81" s="1456" t="s">
        <v>993</v>
      </c>
      <c r="C81" s="1456"/>
      <c r="D81" s="1456"/>
      <c r="E81" s="1289"/>
      <c r="F81" s="1289"/>
      <c r="G81" s="1289"/>
      <c r="K81" s="1415"/>
      <c r="N81" s="1415"/>
      <c r="W81" s="1294"/>
    </row>
    <row r="82" spans="1:23" s="1292" customFormat="1" ht="78.75" customHeight="1">
      <c r="A82" s="1457" t="s">
        <v>969</v>
      </c>
      <c r="B82" s="1803" t="s">
        <v>995</v>
      </c>
      <c r="C82" s="1804"/>
      <c r="D82" s="1804"/>
      <c r="E82" s="1804"/>
      <c r="F82" s="1805"/>
      <c r="G82" s="1806" t="s">
        <v>996</v>
      </c>
      <c r="H82" s="1806"/>
      <c r="I82" s="1806" t="s">
        <v>997</v>
      </c>
      <c r="J82" s="1806"/>
      <c r="S82" s="1294"/>
    </row>
    <row r="83" spans="1:23" s="1292" customFormat="1" ht="15.75">
      <c r="A83" s="1458">
        <v>1</v>
      </c>
      <c r="B83" s="1459" t="s">
        <v>1065</v>
      </c>
      <c r="C83" s="1459"/>
      <c r="D83" s="1459"/>
      <c r="E83" s="1459"/>
      <c r="F83" s="1460"/>
      <c r="G83" s="1807">
        <v>17.878999999999998</v>
      </c>
      <c r="H83" s="1808"/>
      <c r="I83" s="1809">
        <v>6.8713200000000008</v>
      </c>
      <c r="J83" s="1809"/>
      <c r="S83" s="1294"/>
    </row>
    <row r="84" spans="1:23" s="1292" customFormat="1" ht="15.75">
      <c r="A84" s="1458">
        <v>2</v>
      </c>
      <c r="B84" s="1461" t="s">
        <v>1060</v>
      </c>
      <c r="C84" s="1461"/>
      <c r="D84" s="1461"/>
      <c r="E84" s="1461"/>
      <c r="F84" s="1462"/>
      <c r="G84" s="1810">
        <v>3.516</v>
      </c>
      <c r="H84" s="1810"/>
      <c r="I84" s="1810">
        <v>2.3780000000000001</v>
      </c>
      <c r="J84" s="1810"/>
      <c r="S84" s="1294"/>
    </row>
    <row r="85" spans="1:23" s="1292" customFormat="1" ht="19.5" customHeight="1">
      <c r="A85" s="1458">
        <v>3</v>
      </c>
      <c r="B85" s="1811" t="s">
        <v>1066</v>
      </c>
      <c r="C85" s="1812"/>
      <c r="D85" s="1812"/>
      <c r="E85" s="1812"/>
      <c r="F85" s="1813"/>
      <c r="G85" s="1810">
        <v>0.4</v>
      </c>
      <c r="H85" s="1810"/>
      <c r="I85" s="1810">
        <v>0.372</v>
      </c>
      <c r="J85" s="1810"/>
      <c r="S85" s="1294"/>
    </row>
    <row r="86" spans="1:23" s="1292" customFormat="1" ht="15.75">
      <c r="A86" s="1458">
        <v>4</v>
      </c>
      <c r="B86" s="1461" t="s">
        <v>1061</v>
      </c>
      <c r="C86" s="1461"/>
      <c r="D86" s="1461"/>
      <c r="E86" s="1461"/>
      <c r="F86" s="1460"/>
      <c r="G86" s="1810">
        <v>4.5199999999999996</v>
      </c>
      <c r="H86" s="1810"/>
      <c r="I86" s="1810">
        <v>0.83</v>
      </c>
      <c r="J86" s="1810"/>
      <c r="S86" s="1294"/>
    </row>
    <row r="87" spans="1:23" s="1292" customFormat="1" ht="15.75">
      <c r="A87" s="1458">
        <v>5</v>
      </c>
      <c r="B87" s="1463" t="s">
        <v>1386</v>
      </c>
      <c r="C87" s="1464"/>
      <c r="D87" s="1464"/>
      <c r="E87" s="1464"/>
      <c r="F87" s="1465"/>
      <c r="G87" s="1807"/>
      <c r="H87" s="1808"/>
      <c r="I87" s="1810">
        <v>9.5999999999999992E-3</v>
      </c>
      <c r="J87" s="1810"/>
      <c r="S87" s="1294"/>
    </row>
    <row r="88" spans="1:23" s="1292" customFormat="1" ht="15.75">
      <c r="A88" s="1458">
        <v>6</v>
      </c>
      <c r="B88" s="1464" t="s">
        <v>1387</v>
      </c>
      <c r="C88" s="1464"/>
      <c r="D88" s="1464"/>
      <c r="E88" s="1464"/>
      <c r="F88" s="1465"/>
      <c r="G88" s="1807">
        <v>0.4</v>
      </c>
      <c r="H88" s="1808"/>
      <c r="I88" s="1810">
        <v>0.32</v>
      </c>
      <c r="J88" s="1810"/>
      <c r="S88" s="1294"/>
    </row>
    <row r="89" spans="1:23" s="1292" customFormat="1" ht="16.5" thickBot="1">
      <c r="A89" s="1466"/>
      <c r="B89" s="1467" t="s">
        <v>1067</v>
      </c>
      <c r="C89" s="1467"/>
      <c r="D89" s="1467"/>
      <c r="E89" s="1467"/>
      <c r="F89" s="1467"/>
      <c r="G89" s="1814">
        <f>SUM(G83:H88)</f>
        <v>26.714999999999993</v>
      </c>
      <c r="H89" s="1814"/>
      <c r="I89" s="1814">
        <f>SUM(I83:J88)</f>
        <v>10.780920000000002</v>
      </c>
      <c r="J89" s="1814"/>
      <c r="S89" s="1294"/>
    </row>
    <row r="90" spans="1:23">
      <c r="A90" s="868"/>
      <c r="B90" s="868" t="s">
        <v>1327</v>
      </c>
      <c r="C90" s="868"/>
      <c r="D90" s="868"/>
      <c r="E90" s="868"/>
    </row>
    <row r="91" spans="1:23">
      <c r="A91" s="868"/>
      <c r="B91" s="868" t="s">
        <v>999</v>
      </c>
      <c r="C91" s="868"/>
      <c r="D91" s="868"/>
      <c r="E91" s="868"/>
    </row>
    <row r="92" spans="1:23">
      <c r="B92" s="1105" t="s">
        <v>1328</v>
      </c>
      <c r="C92" s="1106"/>
      <c r="D92" s="1106"/>
    </row>
    <row r="93" spans="1:23">
      <c r="A93" s="868"/>
      <c r="B93" s="868"/>
      <c r="C93" s="868"/>
      <c r="D93" s="868"/>
      <c r="E93" s="868"/>
    </row>
    <row r="94" spans="1:23">
      <c r="B94" s="1107" t="s">
        <v>1000</v>
      </c>
      <c r="C94" s="1107"/>
    </row>
    <row r="95" spans="1:23">
      <c r="B95" s="866" t="s">
        <v>1329</v>
      </c>
      <c r="I95" s="866" t="s">
        <v>1330</v>
      </c>
    </row>
    <row r="96" spans="1:23" ht="17.25" customHeight="1">
      <c r="B96" s="866" t="s">
        <v>1331</v>
      </c>
      <c r="S96" s="1108"/>
    </row>
    <row r="97" spans="1:20" s="866" customFormat="1" ht="12" customHeight="1"/>
    <row r="98" spans="1:20" s="866" customFormat="1">
      <c r="B98" s="866" t="s">
        <v>1332</v>
      </c>
      <c r="I98" s="866" t="s">
        <v>1333</v>
      </c>
    </row>
    <row r="100" spans="1:20" s="866" customFormat="1">
      <c r="B100" s="866" t="s">
        <v>1334</v>
      </c>
      <c r="I100" s="866" t="s">
        <v>1335</v>
      </c>
    </row>
    <row r="102" spans="1:20" s="866" customFormat="1" hidden="1">
      <c r="A102" s="867"/>
      <c r="B102" s="867" t="s">
        <v>1063</v>
      </c>
      <c r="C102" s="867"/>
      <c r="D102" s="867"/>
      <c r="E102" s="867"/>
      <c r="F102" s="867"/>
      <c r="G102" s="867"/>
      <c r="H102" s="867"/>
      <c r="I102" s="867"/>
      <c r="J102" s="867"/>
      <c r="K102" s="867"/>
      <c r="L102" s="867"/>
      <c r="M102" s="867"/>
      <c r="N102" s="867"/>
      <c r="O102" s="867"/>
      <c r="P102" s="867"/>
      <c r="Q102" s="867"/>
      <c r="R102" s="867"/>
      <c r="S102" s="867"/>
      <c r="T102" s="867"/>
    </row>
    <row r="103" spans="1:20" s="866" customFormat="1" hidden="1">
      <c r="A103" s="867"/>
      <c r="B103" s="867"/>
      <c r="C103" s="867"/>
      <c r="D103" s="867"/>
      <c r="E103" s="867"/>
      <c r="F103" s="867"/>
      <c r="G103" s="867"/>
      <c r="H103" s="867"/>
      <c r="I103" s="867"/>
      <c r="J103" s="867"/>
      <c r="K103" s="867"/>
      <c r="L103" s="867"/>
      <c r="M103" s="867"/>
      <c r="N103" s="867"/>
      <c r="O103" s="867"/>
      <c r="P103" s="867"/>
      <c r="Q103" s="867"/>
      <c r="R103" s="867"/>
      <c r="S103" s="867"/>
      <c r="T103" s="867"/>
    </row>
    <row r="104" spans="1:20" s="866" customFormat="1" hidden="1">
      <c r="A104" s="867"/>
      <c r="B104" s="869" t="s">
        <v>1068</v>
      </c>
      <c r="C104" s="867"/>
      <c r="D104" s="867"/>
      <c r="E104" s="867"/>
      <c r="F104" s="867"/>
      <c r="G104" s="867"/>
      <c r="H104" s="867"/>
      <c r="I104" s="867"/>
      <c r="J104" s="867"/>
      <c r="K104" s="867"/>
      <c r="L104" s="867"/>
      <c r="M104" s="867"/>
      <c r="N104" s="867"/>
      <c r="O104" s="867"/>
      <c r="P104" s="867"/>
      <c r="Q104" s="867"/>
      <c r="R104" s="867"/>
      <c r="S104" s="867"/>
      <c r="T104" s="867"/>
    </row>
    <row r="105" spans="1:20" s="866" customFormat="1">
      <c r="A105" s="867"/>
      <c r="B105" s="867" t="s">
        <v>1069</v>
      </c>
      <c r="C105" s="870">
        <f>E8/D8-1</f>
        <v>7.0068377071419441E-4</v>
      </c>
      <c r="D105" s="867"/>
      <c r="E105" s="867"/>
      <c r="F105" s="867"/>
      <c r="G105" s="867"/>
      <c r="H105" s="867"/>
      <c r="I105" s="867"/>
      <c r="J105" s="867"/>
      <c r="K105" s="867"/>
      <c r="L105" s="867"/>
      <c r="M105" s="867"/>
      <c r="N105" s="867"/>
      <c r="O105" s="867"/>
      <c r="P105" s="867"/>
      <c r="Q105" s="867"/>
      <c r="R105" s="867"/>
      <c r="S105" s="867"/>
      <c r="T105" s="867"/>
    </row>
    <row r="106" spans="1:20" s="866" customFormat="1">
      <c r="A106" s="867"/>
      <c r="B106" s="867" t="s">
        <v>1070</v>
      </c>
      <c r="C106" s="871"/>
      <c r="D106" s="871" t="str">
        <f t="shared" ref="D106:S106" si="35">IF(D8=D9+D13,"Ок","Ошибка")</f>
        <v>Ок</v>
      </c>
      <c r="E106" s="871" t="str">
        <f t="shared" si="35"/>
        <v>Ок</v>
      </c>
      <c r="F106" s="871" t="str">
        <f t="shared" si="35"/>
        <v>Ок</v>
      </c>
      <c r="G106" s="871" t="str">
        <f t="shared" si="35"/>
        <v>Ок</v>
      </c>
      <c r="H106" s="871" t="str">
        <f t="shared" si="35"/>
        <v>Ок</v>
      </c>
      <c r="I106" s="871" t="str">
        <f t="shared" si="35"/>
        <v>Ок</v>
      </c>
      <c r="J106" s="871" t="str">
        <f t="shared" si="35"/>
        <v>Ок</v>
      </c>
      <c r="K106" s="871" t="str">
        <f t="shared" si="35"/>
        <v>Ок</v>
      </c>
      <c r="L106" s="871" t="str">
        <f t="shared" si="35"/>
        <v>Ок</v>
      </c>
      <c r="M106" s="871" t="str">
        <f t="shared" si="35"/>
        <v>Ок</v>
      </c>
      <c r="N106" s="871" t="str">
        <f t="shared" si="35"/>
        <v>Ок</v>
      </c>
      <c r="O106" s="871" t="str">
        <f t="shared" si="35"/>
        <v>Ок</v>
      </c>
      <c r="P106" s="871" t="str">
        <f t="shared" si="35"/>
        <v>Ок</v>
      </c>
      <c r="Q106" s="871" t="str">
        <f t="shared" si="35"/>
        <v>Ок</v>
      </c>
      <c r="R106" s="871" t="str">
        <f t="shared" si="35"/>
        <v>Ок</v>
      </c>
      <c r="S106" s="871" t="str">
        <f t="shared" si="35"/>
        <v>Ок</v>
      </c>
      <c r="T106" s="871" t="str">
        <f>IF(T8=T9+T13+T16,"Ок","Ошибка")</f>
        <v>Ок</v>
      </c>
    </row>
    <row r="107" spans="1:20" s="866" customFormat="1">
      <c r="A107" s="867"/>
      <c r="B107" s="867" t="s">
        <v>1071</v>
      </c>
      <c r="C107" s="871"/>
      <c r="D107" s="871" t="str">
        <f t="shared" ref="D107:T107" si="36">IF(D9=D10+D11,"Ок","Ошибка")</f>
        <v>Ок</v>
      </c>
      <c r="E107" s="871" t="str">
        <f t="shared" si="36"/>
        <v>Ок</v>
      </c>
      <c r="F107" s="871" t="str">
        <f t="shared" si="36"/>
        <v>Ок</v>
      </c>
      <c r="G107" s="871" t="str">
        <f t="shared" si="36"/>
        <v>Ок</v>
      </c>
      <c r="H107" s="871" t="str">
        <f t="shared" si="36"/>
        <v>Ок</v>
      </c>
      <c r="I107" s="871" t="str">
        <f t="shared" si="36"/>
        <v>Ок</v>
      </c>
      <c r="J107" s="871" t="str">
        <f t="shared" si="36"/>
        <v>Ок</v>
      </c>
      <c r="K107" s="871" t="str">
        <f t="shared" si="36"/>
        <v>Ок</v>
      </c>
      <c r="L107" s="871" t="str">
        <f t="shared" si="36"/>
        <v>Ок</v>
      </c>
      <c r="M107" s="871" t="str">
        <f t="shared" si="36"/>
        <v>Ок</v>
      </c>
      <c r="N107" s="871" t="str">
        <f t="shared" si="36"/>
        <v>Ок</v>
      </c>
      <c r="O107" s="871" t="str">
        <f t="shared" si="36"/>
        <v>Ок</v>
      </c>
      <c r="P107" s="871" t="str">
        <f t="shared" si="36"/>
        <v>Ок</v>
      </c>
      <c r="Q107" s="871" t="str">
        <f t="shared" si="36"/>
        <v>Ок</v>
      </c>
      <c r="R107" s="871" t="str">
        <f t="shared" si="36"/>
        <v>Ок</v>
      </c>
      <c r="S107" s="871" t="str">
        <f t="shared" si="36"/>
        <v>Ок</v>
      </c>
      <c r="T107" s="871" t="str">
        <f t="shared" si="36"/>
        <v>Ок</v>
      </c>
    </row>
    <row r="108" spans="1:20" s="866" customFormat="1">
      <c r="A108" s="867"/>
      <c r="B108" s="867" t="s">
        <v>1072</v>
      </c>
      <c r="C108" s="867"/>
      <c r="D108" s="871" t="str">
        <f t="shared" ref="D108:T108" si="37">IF(D13=D14+D15,"Ок","Ошибка")</f>
        <v>Ок</v>
      </c>
      <c r="E108" s="871" t="str">
        <f t="shared" si="37"/>
        <v>Ок</v>
      </c>
      <c r="F108" s="871" t="str">
        <f t="shared" si="37"/>
        <v>Ок</v>
      </c>
      <c r="G108" s="871" t="str">
        <f t="shared" si="37"/>
        <v>Ок</v>
      </c>
      <c r="H108" s="871" t="str">
        <f t="shared" si="37"/>
        <v>Ок</v>
      </c>
      <c r="I108" s="871" t="str">
        <f t="shared" si="37"/>
        <v>Ок</v>
      </c>
      <c r="J108" s="871" t="str">
        <f t="shared" si="37"/>
        <v>Ок</v>
      </c>
      <c r="K108" s="871" t="str">
        <f t="shared" si="37"/>
        <v>Ок</v>
      </c>
      <c r="L108" s="871" t="str">
        <f t="shared" si="37"/>
        <v>Ок</v>
      </c>
      <c r="M108" s="871" t="str">
        <f t="shared" si="37"/>
        <v>Ок</v>
      </c>
      <c r="N108" s="871" t="str">
        <f t="shared" si="37"/>
        <v>Ок</v>
      </c>
      <c r="O108" s="871" t="str">
        <f t="shared" si="37"/>
        <v>Ок</v>
      </c>
      <c r="P108" s="871" t="str">
        <f t="shared" si="37"/>
        <v>Ок</v>
      </c>
      <c r="Q108" s="871" t="str">
        <f t="shared" si="37"/>
        <v>Ок</v>
      </c>
      <c r="R108" s="871" t="str">
        <f t="shared" si="37"/>
        <v>Ок</v>
      </c>
      <c r="S108" s="871" t="str">
        <f t="shared" si="37"/>
        <v>Ок</v>
      </c>
      <c r="T108" s="871" t="str">
        <f t="shared" si="37"/>
        <v>Ок</v>
      </c>
    </row>
    <row r="109" spans="1:20" s="866" customFormat="1">
      <c r="A109" s="867"/>
      <c r="B109" s="867" t="s">
        <v>1073</v>
      </c>
      <c r="C109" s="867"/>
      <c r="D109" s="871" t="str">
        <f>IF(D8=N31,"Ок","Ошибка")</f>
        <v>Ок</v>
      </c>
      <c r="E109" s="871" t="str">
        <f>IF(E8=O31,"Ок","Ошибка")</f>
        <v>Ок</v>
      </c>
      <c r="F109" s="867"/>
      <c r="G109" s="867"/>
      <c r="H109" s="867"/>
      <c r="I109" s="867"/>
      <c r="J109" s="867"/>
      <c r="K109" s="867"/>
      <c r="L109" s="867"/>
      <c r="M109" s="867"/>
      <c r="N109" s="867"/>
      <c r="O109" s="867"/>
      <c r="P109" s="867"/>
      <c r="Q109" s="867"/>
      <c r="R109" s="867"/>
      <c r="S109" s="867"/>
      <c r="T109" s="867"/>
    </row>
    <row r="110" spans="1:20" s="866" customFormat="1">
      <c r="A110" s="867"/>
      <c r="B110" s="867" t="s">
        <v>1074</v>
      </c>
      <c r="C110" s="867"/>
      <c r="D110" s="871" t="str">
        <f t="shared" ref="D110:E112" si="38">IF(D13=D58,"Ок","Ошибка")</f>
        <v>Ок</v>
      </c>
      <c r="E110" s="871" t="str">
        <f t="shared" si="38"/>
        <v>Ок</v>
      </c>
      <c r="F110" s="871" t="str">
        <f t="shared" ref="F110:I112" si="39">IF(D58=D77,"Ок","Ошибка")</f>
        <v>Ок</v>
      </c>
      <c r="G110" s="871" t="str">
        <f t="shared" si="39"/>
        <v>Ок</v>
      </c>
      <c r="H110" s="871" t="str">
        <f t="shared" si="39"/>
        <v>Ок</v>
      </c>
      <c r="I110" s="871" t="str">
        <f t="shared" si="39"/>
        <v>Ок</v>
      </c>
      <c r="J110" s="871" t="str">
        <f>IF(D16=F58,"Ок","Ошибка")</f>
        <v>Ок</v>
      </c>
      <c r="K110" s="871" t="str">
        <f>IF(E16=G58,"Ок","Ошибка")</f>
        <v>Ок</v>
      </c>
      <c r="L110" s="867"/>
      <c r="M110" s="867"/>
      <c r="N110" s="867"/>
      <c r="O110" s="867"/>
      <c r="P110" s="867"/>
      <c r="Q110" s="867"/>
      <c r="R110" s="867"/>
      <c r="S110" s="867"/>
      <c r="T110" s="867"/>
    </row>
    <row r="111" spans="1:20" s="866" customFormat="1">
      <c r="A111" s="867"/>
      <c r="B111" s="867" t="s">
        <v>1075</v>
      </c>
      <c r="C111" s="867"/>
      <c r="D111" s="871" t="str">
        <f t="shared" si="38"/>
        <v>Ок</v>
      </c>
      <c r="E111" s="871" t="str">
        <f t="shared" si="38"/>
        <v>Ок</v>
      </c>
      <c r="F111" s="871" t="str">
        <f t="shared" si="39"/>
        <v>Ок</v>
      </c>
      <c r="G111" s="871" t="str">
        <f t="shared" si="39"/>
        <v>Ок</v>
      </c>
      <c r="H111" s="871" t="str">
        <f t="shared" si="39"/>
        <v>Ок</v>
      </c>
      <c r="I111" s="871" t="str">
        <f t="shared" si="39"/>
        <v>Ок</v>
      </c>
      <c r="J111" s="871" t="str">
        <f>IF(F58=F77,"Ок","Ошибка")</f>
        <v>Ок</v>
      </c>
      <c r="K111" s="871" t="str">
        <f>IF(G58=G77,"Ок","Ошибка")</f>
        <v>Ок</v>
      </c>
      <c r="L111" s="867"/>
      <c r="M111" s="867"/>
      <c r="N111" s="867"/>
      <c r="O111" s="867"/>
      <c r="P111" s="867"/>
      <c r="Q111" s="867"/>
      <c r="R111" s="867"/>
      <c r="S111" s="867"/>
      <c r="T111" s="867"/>
    </row>
    <row r="112" spans="1:20" s="866" customFormat="1">
      <c r="A112" s="867"/>
      <c r="B112" s="867" t="s">
        <v>1076</v>
      </c>
      <c r="C112" s="867"/>
      <c r="D112" s="871" t="str">
        <f t="shared" si="38"/>
        <v>Ок</v>
      </c>
      <c r="E112" s="871" t="str">
        <f t="shared" si="38"/>
        <v>Ок</v>
      </c>
      <c r="F112" s="871" t="str">
        <f t="shared" si="39"/>
        <v>Ок</v>
      </c>
      <c r="G112" s="871" t="str">
        <f t="shared" si="39"/>
        <v>Ок</v>
      </c>
      <c r="H112" s="871" t="str">
        <f t="shared" si="39"/>
        <v>Ок</v>
      </c>
      <c r="I112" s="871" t="str">
        <f t="shared" si="39"/>
        <v>Ок</v>
      </c>
      <c r="J112" s="871"/>
      <c r="K112" s="871"/>
      <c r="L112" s="867"/>
      <c r="M112" s="867"/>
      <c r="N112" s="867"/>
      <c r="O112" s="867"/>
      <c r="P112" s="867"/>
      <c r="Q112" s="867"/>
      <c r="R112" s="867"/>
      <c r="S112" s="867"/>
      <c r="T112" s="867"/>
    </row>
    <row r="113" spans="1:20" s="866" customFormat="1">
      <c r="A113" s="867"/>
      <c r="B113" s="867"/>
      <c r="C113" s="867"/>
      <c r="D113" s="867"/>
      <c r="E113" s="867"/>
      <c r="F113" s="867"/>
      <c r="G113" s="867"/>
      <c r="H113" s="867"/>
      <c r="I113" s="867"/>
      <c r="J113" s="867"/>
      <c r="K113" s="867"/>
      <c r="L113" s="867"/>
      <c r="M113" s="867"/>
      <c r="N113" s="867"/>
      <c r="O113" s="867"/>
      <c r="P113" s="867"/>
      <c r="Q113" s="867"/>
      <c r="R113" s="867"/>
      <c r="S113" s="867"/>
      <c r="T113" s="867"/>
    </row>
    <row r="114" spans="1:20" s="866" customFormat="1">
      <c r="A114" s="867"/>
      <c r="B114" s="869" t="s">
        <v>965</v>
      </c>
      <c r="C114" s="867"/>
      <c r="D114" s="867"/>
      <c r="E114" s="867"/>
      <c r="F114" s="867"/>
      <c r="G114" s="867"/>
      <c r="H114" s="867"/>
      <c r="I114" s="867"/>
      <c r="J114" s="867"/>
      <c r="K114" s="867"/>
      <c r="L114" s="867"/>
      <c r="M114" s="867"/>
      <c r="N114" s="867"/>
      <c r="O114" s="867"/>
      <c r="P114" s="867"/>
      <c r="Q114" s="867"/>
      <c r="R114" s="867"/>
      <c r="S114" s="867"/>
      <c r="T114" s="867"/>
    </row>
    <row r="115" spans="1:20" s="866" customFormat="1">
      <c r="A115" s="867"/>
      <c r="B115" s="867" t="s">
        <v>1077</v>
      </c>
      <c r="C115" s="867"/>
      <c r="D115" s="871" t="str">
        <f>IF(G89&gt;=I58+K58,"Ок","Ошибка")</f>
        <v>Ок</v>
      </c>
      <c r="E115" s="871" t="str">
        <f>IF(G89&gt;=I58+K58,"Ок","Ошибка")</f>
        <v>Ок</v>
      </c>
      <c r="F115" s="871" t="str">
        <f>IF(H58=H77,"Ок","Ошибка")</f>
        <v>Ок</v>
      </c>
      <c r="G115" s="871" t="str">
        <f>IF(I58=I77,"Ок","Ошибка")</f>
        <v>Ок</v>
      </c>
      <c r="H115" s="871" t="str">
        <f>IF(J58=J77,"Ок","Ошибка")</f>
        <v>Ок</v>
      </c>
      <c r="I115" s="871" t="str">
        <f>IF(K58=K77,"Ок","Ошибка")</f>
        <v>Ок</v>
      </c>
      <c r="J115" s="867"/>
      <c r="K115" s="867"/>
      <c r="L115" s="867"/>
      <c r="M115" s="867"/>
      <c r="N115" s="867"/>
      <c r="O115" s="867"/>
      <c r="P115" s="867"/>
      <c r="Q115" s="867"/>
      <c r="R115" s="867"/>
      <c r="S115" s="867"/>
      <c r="T115" s="867"/>
    </row>
    <row r="116" spans="1:20" s="866" customFormat="1">
      <c r="A116" s="867"/>
      <c r="B116" s="867" t="s">
        <v>1078</v>
      </c>
      <c r="C116" s="867"/>
      <c r="D116" s="871" t="str">
        <f>IF(H58&gt;=L58,"Ок","Ошибка")</f>
        <v>Ок</v>
      </c>
      <c r="E116" s="871" t="str">
        <f>IF(I58&gt;=M58,"Ок","Ошибка")</f>
        <v>Ок</v>
      </c>
      <c r="F116" s="871" t="str">
        <f>IF(L58=L77,"Ок","Ошибка")</f>
        <v>Ок</v>
      </c>
      <c r="G116" s="871" t="str">
        <f>IF(M58=M77,"Ок","Ошибка")</f>
        <v>Ок</v>
      </c>
      <c r="H116" s="871" t="str">
        <f>IF(N58=N77,"Ок","Ошибка")</f>
        <v>Ок</v>
      </c>
      <c r="I116" s="871" t="str">
        <f>IF(O58=O77,"Ок","Ошибка")</f>
        <v>Ок</v>
      </c>
      <c r="J116" s="867"/>
      <c r="K116" s="867"/>
      <c r="L116" s="867"/>
      <c r="M116" s="867"/>
      <c r="N116" s="867"/>
      <c r="O116" s="867"/>
      <c r="P116" s="867"/>
      <c r="Q116" s="867"/>
      <c r="R116" s="867"/>
      <c r="S116" s="867"/>
      <c r="T116" s="867"/>
    </row>
    <row r="117" spans="1:20" s="866" customFormat="1">
      <c r="A117" s="867"/>
      <c r="B117" s="867" t="s">
        <v>1070</v>
      </c>
      <c r="C117" s="867"/>
      <c r="D117" s="871" t="str">
        <f t="shared" ref="D117:S117" si="40">IF(D18=D19+D23,"Ок","Ошибка")</f>
        <v>Ок</v>
      </c>
      <c r="E117" s="871" t="str">
        <f t="shared" si="40"/>
        <v>Ок</v>
      </c>
      <c r="F117" s="871" t="str">
        <f t="shared" si="40"/>
        <v>Ок</v>
      </c>
      <c r="G117" s="871" t="str">
        <f t="shared" si="40"/>
        <v>Ок</v>
      </c>
      <c r="H117" s="871" t="str">
        <f t="shared" si="40"/>
        <v>Ок</v>
      </c>
      <c r="I117" s="871" t="str">
        <f t="shared" si="40"/>
        <v>Ок</v>
      </c>
      <c r="J117" s="871" t="str">
        <f t="shared" si="40"/>
        <v>Ок</v>
      </c>
      <c r="K117" s="871" t="str">
        <f t="shared" si="40"/>
        <v>Ок</v>
      </c>
      <c r="L117" s="871" t="str">
        <f t="shared" si="40"/>
        <v>Ок</v>
      </c>
      <c r="M117" s="871" t="str">
        <f t="shared" si="40"/>
        <v>Ок</v>
      </c>
      <c r="N117" s="871" t="str">
        <f t="shared" si="40"/>
        <v>Ок</v>
      </c>
      <c r="O117" s="871" t="str">
        <f t="shared" si="40"/>
        <v>Ок</v>
      </c>
      <c r="P117" s="871" t="str">
        <f t="shared" si="40"/>
        <v>Ок</v>
      </c>
      <c r="Q117" s="871" t="str">
        <f t="shared" si="40"/>
        <v>Ок</v>
      </c>
      <c r="R117" s="871" t="str">
        <f t="shared" si="40"/>
        <v>Ок</v>
      </c>
      <c r="S117" s="871" t="str">
        <f t="shared" si="40"/>
        <v>Ок</v>
      </c>
      <c r="T117" s="871" t="str">
        <f>IF(T18=T19+T23+T26,"Ок","Ошибка")</f>
        <v>Ок</v>
      </c>
    </row>
    <row r="118" spans="1:20" s="866" customFormat="1">
      <c r="A118" s="867"/>
      <c r="B118" s="867" t="s">
        <v>1071</v>
      </c>
      <c r="C118" s="867"/>
      <c r="D118" s="871" t="str">
        <f t="shared" ref="D118:T118" si="41">IF(D19=D20+D21,"Ок","Ошибка")</f>
        <v>Ок</v>
      </c>
      <c r="E118" s="871" t="str">
        <f t="shared" si="41"/>
        <v>Ок</v>
      </c>
      <c r="F118" s="871" t="str">
        <f t="shared" si="41"/>
        <v>Ок</v>
      </c>
      <c r="G118" s="871" t="str">
        <f t="shared" si="41"/>
        <v>Ок</v>
      </c>
      <c r="H118" s="871" t="str">
        <f t="shared" si="41"/>
        <v>Ок</v>
      </c>
      <c r="I118" s="871" t="str">
        <f t="shared" si="41"/>
        <v>Ок</v>
      </c>
      <c r="J118" s="871" t="str">
        <f t="shared" si="41"/>
        <v>Ок</v>
      </c>
      <c r="K118" s="871" t="str">
        <f t="shared" si="41"/>
        <v>Ок</v>
      </c>
      <c r="L118" s="871" t="str">
        <f t="shared" si="41"/>
        <v>Ок</v>
      </c>
      <c r="M118" s="871" t="str">
        <f t="shared" si="41"/>
        <v>Ок</v>
      </c>
      <c r="N118" s="871" t="str">
        <f t="shared" si="41"/>
        <v>Ок</v>
      </c>
      <c r="O118" s="871" t="str">
        <f t="shared" si="41"/>
        <v>Ок</v>
      </c>
      <c r="P118" s="871" t="str">
        <f t="shared" si="41"/>
        <v>Ок</v>
      </c>
      <c r="Q118" s="871" t="str">
        <f t="shared" si="41"/>
        <v>Ок</v>
      </c>
      <c r="R118" s="871" t="str">
        <f t="shared" si="41"/>
        <v>Ок</v>
      </c>
      <c r="S118" s="871" t="str">
        <f t="shared" si="41"/>
        <v>Ок</v>
      </c>
      <c r="T118" s="871" t="str">
        <f t="shared" si="41"/>
        <v>Ок</v>
      </c>
    </row>
    <row r="119" spans="1:20" s="866" customFormat="1">
      <c r="A119" s="867"/>
      <c r="B119" s="867" t="s">
        <v>1072</v>
      </c>
      <c r="C119" s="867"/>
      <c r="D119" s="871" t="str">
        <f t="shared" ref="D119:T119" si="42">IF(D23=D24+D25,"Ок","Ошибка")</f>
        <v>Ок</v>
      </c>
      <c r="E119" s="871" t="str">
        <f t="shared" si="42"/>
        <v>Ок</v>
      </c>
      <c r="F119" s="871" t="str">
        <f t="shared" si="42"/>
        <v>Ок</v>
      </c>
      <c r="G119" s="871" t="str">
        <f t="shared" si="42"/>
        <v>Ок</v>
      </c>
      <c r="H119" s="871" t="str">
        <f t="shared" si="42"/>
        <v>Ок</v>
      </c>
      <c r="I119" s="871" t="str">
        <f t="shared" si="42"/>
        <v>Ок</v>
      </c>
      <c r="J119" s="871" t="str">
        <f t="shared" si="42"/>
        <v>Ок</v>
      </c>
      <c r="K119" s="871" t="str">
        <f t="shared" si="42"/>
        <v>Ок</v>
      </c>
      <c r="L119" s="871" t="str">
        <f t="shared" si="42"/>
        <v>Ок</v>
      </c>
      <c r="M119" s="871" t="str">
        <f t="shared" si="42"/>
        <v>Ок</v>
      </c>
      <c r="N119" s="871" t="str">
        <f t="shared" si="42"/>
        <v>Ок</v>
      </c>
      <c r="O119" s="871" t="str">
        <f t="shared" si="42"/>
        <v>Ок</v>
      </c>
      <c r="P119" s="871" t="str">
        <f t="shared" si="42"/>
        <v>Ок</v>
      </c>
      <c r="Q119" s="871" t="str">
        <f t="shared" si="42"/>
        <v>Ок</v>
      </c>
      <c r="R119" s="871" t="str">
        <f t="shared" si="42"/>
        <v>Ок</v>
      </c>
      <c r="S119" s="871" t="str">
        <f t="shared" si="42"/>
        <v>Ок</v>
      </c>
      <c r="T119" s="871" t="str">
        <f t="shared" si="42"/>
        <v>Ок</v>
      </c>
    </row>
    <row r="120" spans="1:20" s="866" customFormat="1">
      <c r="A120" s="867"/>
      <c r="B120" s="867" t="s">
        <v>1074</v>
      </c>
      <c r="C120" s="867"/>
      <c r="D120" s="871" t="str">
        <f t="shared" ref="D120:E122" si="43">IF(D23=L58,"Ок","Ошибка")</f>
        <v>Ок</v>
      </c>
      <c r="E120" s="871" t="str">
        <f t="shared" si="43"/>
        <v>Ок</v>
      </c>
      <c r="F120" s="871" t="str">
        <f t="shared" ref="F120:I122" si="44">IF(L58=L77,"Ок","Ошибка")</f>
        <v>Ок</v>
      </c>
      <c r="G120" s="871" t="str">
        <f t="shared" si="44"/>
        <v>Ок</v>
      </c>
      <c r="H120" s="871" t="str">
        <f>IF(N58=N77,"Ок","Ошибка")</f>
        <v>Ок</v>
      </c>
      <c r="I120" s="871" t="str">
        <f t="shared" si="44"/>
        <v>Ок</v>
      </c>
      <c r="J120" s="871" t="str">
        <f>IF(D26=N58,"Ок","Ошибка")</f>
        <v>Ок</v>
      </c>
      <c r="K120" s="871" t="str">
        <f>IF(E26=O58,"Ок","Ошибка")</f>
        <v>Ок</v>
      </c>
      <c r="L120" s="871"/>
      <c r="M120" s="871"/>
      <c r="N120" s="867"/>
      <c r="O120" s="867"/>
      <c r="P120" s="867"/>
      <c r="Q120" s="867"/>
      <c r="R120" s="867"/>
      <c r="S120" s="867"/>
      <c r="T120" s="867"/>
    </row>
    <row r="121" spans="1:20" s="866" customFormat="1">
      <c r="A121" s="867"/>
      <c r="B121" s="867" t="s">
        <v>1075</v>
      </c>
      <c r="C121" s="867"/>
      <c r="D121" s="871" t="str">
        <f t="shared" si="43"/>
        <v>Ок</v>
      </c>
      <c r="E121" s="871" t="str">
        <f t="shared" si="43"/>
        <v>Ок</v>
      </c>
      <c r="F121" s="871" t="str">
        <f t="shared" si="44"/>
        <v>Ок</v>
      </c>
      <c r="G121" s="871" t="str">
        <f t="shared" si="44"/>
        <v>Ок</v>
      </c>
      <c r="H121" s="871" t="str">
        <f t="shared" si="44"/>
        <v>Ок</v>
      </c>
      <c r="I121" s="871" t="str">
        <f t="shared" si="44"/>
        <v>Ок</v>
      </c>
      <c r="J121" s="871" t="str">
        <f>IF(N58=N77,"Ок","Ошибка")</f>
        <v>Ок</v>
      </c>
      <c r="K121" s="871" t="str">
        <f>IF(O58=O77,"Ок","Ошибка")</f>
        <v>Ок</v>
      </c>
      <c r="L121" s="871"/>
      <c r="M121" s="871"/>
      <c r="N121" s="867"/>
      <c r="O121" s="867"/>
      <c r="P121" s="867"/>
      <c r="Q121" s="867"/>
      <c r="R121" s="867"/>
      <c r="S121" s="867"/>
      <c r="T121" s="867"/>
    </row>
    <row r="122" spans="1:20" s="866" customFormat="1">
      <c r="A122" s="867"/>
      <c r="B122" s="867" t="s">
        <v>1076</v>
      </c>
      <c r="C122" s="867"/>
      <c r="D122" s="871" t="str">
        <f t="shared" si="43"/>
        <v>Ок</v>
      </c>
      <c r="E122" s="871" t="str">
        <f t="shared" si="43"/>
        <v>Ок</v>
      </c>
      <c r="F122" s="871" t="str">
        <f t="shared" si="44"/>
        <v>Ок</v>
      </c>
      <c r="G122" s="871" t="str">
        <f t="shared" si="44"/>
        <v>Ок</v>
      </c>
      <c r="H122" s="871" t="str">
        <f t="shared" si="44"/>
        <v>Ок</v>
      </c>
      <c r="I122" s="871" t="str">
        <f t="shared" si="44"/>
        <v>Ок</v>
      </c>
      <c r="J122" s="867"/>
      <c r="K122" s="867"/>
      <c r="L122" s="867"/>
      <c r="M122" s="867"/>
      <c r="N122" s="867"/>
      <c r="O122" s="867"/>
      <c r="P122" s="867"/>
      <c r="Q122" s="867"/>
      <c r="R122" s="867"/>
      <c r="S122" s="867"/>
      <c r="T122" s="867"/>
    </row>
    <row r="123" spans="1:20" s="867" customFormat="1"/>
    <row r="124" spans="1:20" s="867" customFormat="1">
      <c r="B124" s="867" t="s">
        <v>1079</v>
      </c>
      <c r="C124" s="872">
        <f>D8*1000/D18</f>
        <v>5500.0854295206445</v>
      </c>
      <c r="D124" s="872">
        <f>E8*1000/E18</f>
        <v>5499.9715440213977</v>
      </c>
      <c r="E124" s="872"/>
      <c r="F124" s="872"/>
      <c r="G124" s="872"/>
      <c r="H124" s="872"/>
      <c r="I124" s="872"/>
      <c r="J124" s="872"/>
      <c r="K124" s="872"/>
      <c r="L124" s="872"/>
      <c r="M124" s="872"/>
      <c r="N124" s="872"/>
      <c r="O124" s="872"/>
      <c r="P124" s="872"/>
      <c r="Q124" s="872"/>
      <c r="R124" s="872"/>
      <c r="S124" s="872"/>
      <c r="T124" s="872"/>
    </row>
    <row r="125" spans="1:20" s="867" customFormat="1"/>
    <row r="126" spans="1:20" s="867" customFormat="1"/>
    <row r="127" spans="1:20" s="867" customFormat="1"/>
    <row r="128" spans="1:20" s="867" customFormat="1"/>
    <row r="129" s="867" customFormat="1"/>
    <row r="130" s="867" customFormat="1"/>
    <row r="131" s="867" customFormat="1"/>
    <row r="132" s="867" customFormat="1"/>
    <row r="133" s="867" customFormat="1"/>
    <row r="134" s="867" customFormat="1"/>
    <row r="135" s="867" customFormat="1"/>
    <row r="136" s="867" customFormat="1"/>
    <row r="137" s="867" customFormat="1"/>
    <row r="138" s="867" customFormat="1"/>
    <row r="139" s="867" customFormat="1"/>
    <row r="140" s="867" customFormat="1"/>
    <row r="141" s="867" customFormat="1"/>
    <row r="142" s="867" customFormat="1"/>
    <row r="143" s="867" customFormat="1"/>
    <row r="144" s="867" customFormat="1"/>
    <row r="145" s="867" customFormat="1"/>
  </sheetData>
  <mergeCells count="91">
    <mergeCell ref="G89:H89"/>
    <mergeCell ref="I89:J89"/>
    <mergeCell ref="G86:H86"/>
    <mergeCell ref="I86:J86"/>
    <mergeCell ref="G87:H87"/>
    <mergeCell ref="I87:J87"/>
    <mergeCell ref="G88:H88"/>
    <mergeCell ref="I88:J88"/>
    <mergeCell ref="G84:H84"/>
    <mergeCell ref="I84:J84"/>
    <mergeCell ref="B85:F85"/>
    <mergeCell ref="G85:H85"/>
    <mergeCell ref="I85:J85"/>
    <mergeCell ref="B79:C79"/>
    <mergeCell ref="B82:F82"/>
    <mergeCell ref="G82:H82"/>
    <mergeCell ref="I82:J82"/>
    <mergeCell ref="G83:H83"/>
    <mergeCell ref="I83:J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0:C60"/>
    <mergeCell ref="B65:C65"/>
    <mergeCell ref="B66:C66"/>
    <mergeCell ref="B67:C67"/>
    <mergeCell ref="B68:C68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L42:N42"/>
    <mergeCell ref="B46:C46"/>
    <mergeCell ref="B47:C47"/>
    <mergeCell ref="B48:C48"/>
    <mergeCell ref="B49:C49"/>
    <mergeCell ref="A28:A30"/>
    <mergeCell ref="N28:O29"/>
    <mergeCell ref="N44:O44"/>
    <mergeCell ref="A62:O62"/>
    <mergeCell ref="A63:A64"/>
    <mergeCell ref="B63:C64"/>
    <mergeCell ref="D63:E63"/>
    <mergeCell ref="F63:G63"/>
    <mergeCell ref="H63:I63"/>
    <mergeCell ref="J63:K63"/>
    <mergeCell ref="L63:M63"/>
    <mergeCell ref="N63:O63"/>
    <mergeCell ref="B28:B30"/>
    <mergeCell ref="C28:C30"/>
    <mergeCell ref="D28:M28"/>
    <mergeCell ref="D29:E29"/>
    <mergeCell ref="F29:G29"/>
    <mergeCell ref="H29:I29"/>
    <mergeCell ref="J29:K29"/>
    <mergeCell ref="L29:M29"/>
    <mergeCell ref="Q30:R30"/>
    <mergeCell ref="Q31:R31"/>
    <mergeCell ref="Q32:R32"/>
    <mergeCell ref="Q33:R33"/>
    <mergeCell ref="P28:S29"/>
    <mergeCell ref="Q39:R39"/>
    <mergeCell ref="A44:A45"/>
    <mergeCell ref="Q34:R34"/>
    <mergeCell ref="Q35:R35"/>
    <mergeCell ref="Q36:R36"/>
    <mergeCell ref="Q37:R37"/>
    <mergeCell ref="Q38:R38"/>
    <mergeCell ref="D44:E44"/>
    <mergeCell ref="F44:G44"/>
    <mergeCell ref="H44:I44"/>
    <mergeCell ref="J44:K44"/>
    <mergeCell ref="L44:M44"/>
    <mergeCell ref="B44:C45"/>
    <mergeCell ref="A43:O43"/>
    <mergeCell ref="Q40:R40"/>
    <mergeCell ref="Q41:R41"/>
    <mergeCell ref="B42:I42"/>
  </mergeCells>
  <conditionalFormatting sqref="U138:IV140 U127:IV128 V129:IV129 B120:B122 B114 D109:E109 B109:B112 A117:T119 A106:T108 D115:I116 D120:I122 D110:K112 J120:M121">
    <cfRule type="containsText" dxfId="10" priority="1" stopIfTrue="1" operator="containsText" text="Ошибка">
      <formula>NOT(ISERROR(SEARCH("Ошибка",A106)))</formula>
    </cfRule>
  </conditionalFormatting>
  <dataValidations count="1">
    <dataValidation type="decimal" allowBlank="1" showInputMessage="1" showErrorMessage="1" sqref="F786443:K786443 JB786443:JG786443 SX786443:TC786443 ACT786443:ACY786443 AMP786443:AMU786443 AWL786443:AWQ786443 BGH786443:BGM786443 BQD786443:BQI786443 BZZ786443:CAE786443 CJV786443:CKA786443 CTR786443:CTW786443 DDN786443:DDS786443 DNJ786443:DNO786443 DXF786443:DXK786443 EHB786443:EHG786443 EQX786443:ERC786443 FAT786443:FAY786443 FKP786443:FKU786443 FUL786443:FUQ786443 GEH786443:GEM786443 GOD786443:GOI786443 GXZ786443:GYE786443 HHV786443:HIA786443 HRR786443:HRW786443 IBN786443:IBS786443 ILJ786443:ILO786443 IVF786443:IVK786443 JFB786443:JFG786443 JOX786443:JPC786443 JYT786443:JYY786443 KIP786443:KIU786443 KSL786443:KSQ786443 LCH786443:LCM786443 LMD786443:LMI786443 LVZ786443:LWE786443 MFV786443:MGA786443 MPR786443:MPW786443 MZN786443:MZS786443 NJJ786443:NJO786443 NTF786443:NTK786443 ODB786443:ODG786443 OMX786443:ONC786443 OWT786443:OWY786443 PGP786443:PGU786443 PQL786443:PQQ786443 QAH786443:QAM786443 QKD786443:QKI786443 QTZ786443:QUE786443 RDV786443:REA786443 RNR786443:RNW786443 RXN786443:RXS786443 SHJ786443:SHO786443 SRF786443:SRK786443 TBB786443:TBG786443 TKX786443:TLC786443 TUT786443:TUY786443 UEP786443:UEU786443 UOL786443:UOQ786443 UYH786443:UYM786443 VID786443:VII786443 VRZ786443:VSE786443 WBV786443:WCA786443 WLR786443:WLW786443 WVN786443:WVS786443 M65547:R65547 JI65547:JN65547 TE65547:TJ65547 ADA65547:ADF65547 AMW65547:ANB65547 AWS65547:AWX65547 BGO65547:BGT65547 BQK65547:BQP65547 CAG65547:CAL65547 CKC65547:CKH65547 CTY65547:CUD65547 DDU65547:DDZ65547 DNQ65547:DNV65547 DXM65547:DXR65547 EHI65547:EHN65547 ERE65547:ERJ65547 FBA65547:FBF65547 FKW65547:FLB65547 FUS65547:FUX65547 GEO65547:GET65547 GOK65547:GOP65547 GYG65547:GYL65547 HIC65547:HIH65547 HRY65547:HSD65547 IBU65547:IBZ65547 ILQ65547:ILV65547 IVM65547:IVR65547 JFI65547:JFN65547 JPE65547:JPJ65547 JZA65547:JZF65547 KIW65547:KJB65547 KSS65547:KSX65547 LCO65547:LCT65547 LMK65547:LMP65547 LWG65547:LWL65547 MGC65547:MGH65547 MPY65547:MQD65547 MZU65547:MZZ65547 NJQ65547:NJV65547 NTM65547:NTR65547 ODI65547:ODN65547 ONE65547:ONJ65547 OXA65547:OXF65547 PGW65547:PHB65547 PQS65547:PQX65547 QAO65547:QAT65547 QKK65547:QKP65547 QUG65547:QUL65547 REC65547:REH65547 RNY65547:ROD65547 RXU65547:RXZ65547 SHQ65547:SHV65547 SRM65547:SRR65547 TBI65547:TBN65547 TLE65547:TLJ65547 TVA65547:TVF65547 UEW65547:UFB65547 UOS65547:UOX65547 UYO65547:UYT65547 VIK65547:VIP65547 VSG65547:VSL65547 WCC65547:WCH65547 WLY65547:WMD65547 WVU65547:WVZ65547 M131083:R131083 JI131083:JN131083 TE131083:TJ131083 ADA131083:ADF131083 AMW131083:ANB131083 AWS131083:AWX131083 BGO131083:BGT131083 BQK131083:BQP131083 CAG131083:CAL131083 CKC131083:CKH131083 CTY131083:CUD131083 DDU131083:DDZ131083 DNQ131083:DNV131083 DXM131083:DXR131083 EHI131083:EHN131083 ERE131083:ERJ131083 FBA131083:FBF131083 FKW131083:FLB131083 FUS131083:FUX131083 GEO131083:GET131083 GOK131083:GOP131083 GYG131083:GYL131083 HIC131083:HIH131083 HRY131083:HSD131083 IBU131083:IBZ131083 ILQ131083:ILV131083 IVM131083:IVR131083 JFI131083:JFN131083 JPE131083:JPJ131083 JZA131083:JZF131083 KIW131083:KJB131083 KSS131083:KSX131083 LCO131083:LCT131083 LMK131083:LMP131083 LWG131083:LWL131083 MGC131083:MGH131083 MPY131083:MQD131083 MZU131083:MZZ131083 NJQ131083:NJV131083 NTM131083:NTR131083 ODI131083:ODN131083 ONE131083:ONJ131083 OXA131083:OXF131083 PGW131083:PHB131083 PQS131083:PQX131083 QAO131083:QAT131083 QKK131083:QKP131083 QUG131083:QUL131083 REC131083:REH131083 RNY131083:ROD131083 RXU131083:RXZ131083 SHQ131083:SHV131083 SRM131083:SRR131083 TBI131083:TBN131083 TLE131083:TLJ131083 TVA131083:TVF131083 UEW131083:UFB131083 UOS131083:UOX131083 UYO131083:UYT131083 VIK131083:VIP131083 VSG131083:VSL131083 WCC131083:WCH131083 WLY131083:WMD131083 WVU131083:WVZ131083 M196619:R196619 JI196619:JN196619 TE196619:TJ196619 ADA196619:ADF196619 AMW196619:ANB196619 AWS196619:AWX196619 BGO196619:BGT196619 BQK196619:BQP196619 CAG196619:CAL196619 CKC196619:CKH196619 CTY196619:CUD196619 DDU196619:DDZ196619 DNQ196619:DNV196619 DXM196619:DXR196619 EHI196619:EHN196619 ERE196619:ERJ196619 FBA196619:FBF196619 FKW196619:FLB196619 FUS196619:FUX196619 GEO196619:GET196619 GOK196619:GOP196619 GYG196619:GYL196619 HIC196619:HIH196619 HRY196619:HSD196619 IBU196619:IBZ196619 ILQ196619:ILV196619 IVM196619:IVR196619 JFI196619:JFN196619 JPE196619:JPJ196619 JZA196619:JZF196619 KIW196619:KJB196619 KSS196619:KSX196619 LCO196619:LCT196619 LMK196619:LMP196619 LWG196619:LWL196619 MGC196619:MGH196619 MPY196619:MQD196619 MZU196619:MZZ196619 NJQ196619:NJV196619 NTM196619:NTR196619 ODI196619:ODN196619 ONE196619:ONJ196619 OXA196619:OXF196619 PGW196619:PHB196619 PQS196619:PQX196619 QAO196619:QAT196619 QKK196619:QKP196619 QUG196619:QUL196619 REC196619:REH196619 RNY196619:ROD196619 RXU196619:RXZ196619 SHQ196619:SHV196619 SRM196619:SRR196619 TBI196619:TBN196619 TLE196619:TLJ196619 TVA196619:TVF196619 UEW196619:UFB196619 UOS196619:UOX196619 UYO196619:UYT196619 VIK196619:VIP196619 VSG196619:VSL196619 WCC196619:WCH196619 WLY196619:WMD196619 WVU196619:WVZ196619 M262155:R262155 JI262155:JN262155 TE262155:TJ262155 ADA262155:ADF262155 AMW262155:ANB262155 AWS262155:AWX262155 BGO262155:BGT262155 BQK262155:BQP262155 CAG262155:CAL262155 CKC262155:CKH262155 CTY262155:CUD262155 DDU262155:DDZ262155 DNQ262155:DNV262155 DXM262155:DXR262155 EHI262155:EHN262155 ERE262155:ERJ262155 FBA262155:FBF262155 FKW262155:FLB262155 FUS262155:FUX262155 GEO262155:GET262155 GOK262155:GOP262155 GYG262155:GYL262155 HIC262155:HIH262155 HRY262155:HSD262155 IBU262155:IBZ262155 ILQ262155:ILV262155 IVM262155:IVR262155 JFI262155:JFN262155 JPE262155:JPJ262155 JZA262155:JZF262155 KIW262155:KJB262155 KSS262155:KSX262155 LCO262155:LCT262155 LMK262155:LMP262155 LWG262155:LWL262155 MGC262155:MGH262155 MPY262155:MQD262155 MZU262155:MZZ262155 NJQ262155:NJV262155 NTM262155:NTR262155 ODI262155:ODN262155 ONE262155:ONJ262155 OXA262155:OXF262155 PGW262155:PHB262155 PQS262155:PQX262155 QAO262155:QAT262155 QKK262155:QKP262155 QUG262155:QUL262155 REC262155:REH262155 RNY262155:ROD262155 RXU262155:RXZ262155 SHQ262155:SHV262155 SRM262155:SRR262155 TBI262155:TBN262155 TLE262155:TLJ262155 TVA262155:TVF262155 UEW262155:UFB262155 UOS262155:UOX262155 UYO262155:UYT262155 VIK262155:VIP262155 VSG262155:VSL262155 WCC262155:WCH262155 WLY262155:WMD262155 WVU262155:WVZ262155 M327691:R327691 JI327691:JN327691 TE327691:TJ327691 ADA327691:ADF327691 AMW327691:ANB327691 AWS327691:AWX327691 BGO327691:BGT327691 BQK327691:BQP327691 CAG327691:CAL327691 CKC327691:CKH327691 CTY327691:CUD327691 DDU327691:DDZ327691 DNQ327691:DNV327691 DXM327691:DXR327691 EHI327691:EHN327691 ERE327691:ERJ327691 FBA327691:FBF327691 FKW327691:FLB327691 FUS327691:FUX327691 GEO327691:GET327691 GOK327691:GOP327691 GYG327691:GYL327691 HIC327691:HIH327691 HRY327691:HSD327691 IBU327691:IBZ327691 ILQ327691:ILV327691 IVM327691:IVR327691 JFI327691:JFN327691 JPE327691:JPJ327691 JZA327691:JZF327691 KIW327691:KJB327691 KSS327691:KSX327691 LCO327691:LCT327691 LMK327691:LMP327691 LWG327691:LWL327691 MGC327691:MGH327691 MPY327691:MQD327691 MZU327691:MZZ327691 NJQ327691:NJV327691 NTM327691:NTR327691 ODI327691:ODN327691 ONE327691:ONJ327691 OXA327691:OXF327691 PGW327691:PHB327691 PQS327691:PQX327691 QAO327691:QAT327691 QKK327691:QKP327691 QUG327691:QUL327691 REC327691:REH327691 RNY327691:ROD327691 RXU327691:RXZ327691 SHQ327691:SHV327691 SRM327691:SRR327691 TBI327691:TBN327691 TLE327691:TLJ327691 TVA327691:TVF327691 UEW327691:UFB327691 UOS327691:UOX327691 UYO327691:UYT327691 VIK327691:VIP327691 VSG327691:VSL327691 WCC327691:WCH327691 WLY327691:WMD327691 WVU327691:WVZ327691 M393227:R393227 JI393227:JN393227 TE393227:TJ393227 ADA393227:ADF393227 AMW393227:ANB393227 AWS393227:AWX393227 BGO393227:BGT393227 BQK393227:BQP393227 CAG393227:CAL393227 CKC393227:CKH393227 CTY393227:CUD393227 DDU393227:DDZ393227 DNQ393227:DNV393227 DXM393227:DXR393227 EHI393227:EHN393227 ERE393227:ERJ393227 FBA393227:FBF393227 FKW393227:FLB393227 FUS393227:FUX393227 GEO393227:GET393227 GOK393227:GOP393227 GYG393227:GYL393227 HIC393227:HIH393227 HRY393227:HSD393227 IBU393227:IBZ393227 ILQ393227:ILV393227 IVM393227:IVR393227 JFI393227:JFN393227 JPE393227:JPJ393227 JZA393227:JZF393227 KIW393227:KJB393227 KSS393227:KSX393227 LCO393227:LCT393227 LMK393227:LMP393227 LWG393227:LWL393227 MGC393227:MGH393227 MPY393227:MQD393227 MZU393227:MZZ393227 NJQ393227:NJV393227 NTM393227:NTR393227 ODI393227:ODN393227 ONE393227:ONJ393227 OXA393227:OXF393227 PGW393227:PHB393227 PQS393227:PQX393227 QAO393227:QAT393227 QKK393227:QKP393227 QUG393227:QUL393227 REC393227:REH393227 RNY393227:ROD393227 RXU393227:RXZ393227 SHQ393227:SHV393227 SRM393227:SRR393227 TBI393227:TBN393227 TLE393227:TLJ393227 TVA393227:TVF393227 UEW393227:UFB393227 UOS393227:UOX393227 UYO393227:UYT393227 VIK393227:VIP393227 VSG393227:VSL393227 WCC393227:WCH393227 WLY393227:WMD393227 WVU393227:WVZ393227 M458763:R458763 JI458763:JN458763 TE458763:TJ458763 ADA458763:ADF458763 AMW458763:ANB458763 AWS458763:AWX458763 BGO458763:BGT458763 BQK458763:BQP458763 CAG458763:CAL458763 CKC458763:CKH458763 CTY458763:CUD458763 DDU458763:DDZ458763 DNQ458763:DNV458763 DXM458763:DXR458763 EHI458763:EHN458763 ERE458763:ERJ458763 FBA458763:FBF458763 FKW458763:FLB458763 FUS458763:FUX458763 GEO458763:GET458763 GOK458763:GOP458763 GYG458763:GYL458763 HIC458763:HIH458763 HRY458763:HSD458763 IBU458763:IBZ458763 ILQ458763:ILV458763 IVM458763:IVR458763 JFI458763:JFN458763 JPE458763:JPJ458763 JZA458763:JZF458763 KIW458763:KJB458763 KSS458763:KSX458763 LCO458763:LCT458763 LMK458763:LMP458763 LWG458763:LWL458763 MGC458763:MGH458763 MPY458763:MQD458763 MZU458763:MZZ458763 NJQ458763:NJV458763 NTM458763:NTR458763 ODI458763:ODN458763 ONE458763:ONJ458763 OXA458763:OXF458763 PGW458763:PHB458763 PQS458763:PQX458763 QAO458763:QAT458763 QKK458763:QKP458763 QUG458763:QUL458763 REC458763:REH458763 RNY458763:ROD458763 RXU458763:RXZ458763 SHQ458763:SHV458763 SRM458763:SRR458763 TBI458763:TBN458763 TLE458763:TLJ458763 TVA458763:TVF458763 UEW458763:UFB458763 UOS458763:UOX458763 UYO458763:UYT458763 VIK458763:VIP458763 VSG458763:VSL458763 WCC458763:WCH458763 WLY458763:WMD458763 WVU458763:WVZ458763 M524299:R524299 JI524299:JN524299 TE524299:TJ524299 ADA524299:ADF524299 AMW524299:ANB524299 AWS524299:AWX524299 BGO524299:BGT524299 BQK524299:BQP524299 CAG524299:CAL524299 CKC524299:CKH524299 CTY524299:CUD524299 DDU524299:DDZ524299 DNQ524299:DNV524299 DXM524299:DXR524299 EHI524299:EHN524299 ERE524299:ERJ524299 FBA524299:FBF524299 FKW524299:FLB524299 FUS524299:FUX524299 GEO524299:GET524299 GOK524299:GOP524299 GYG524299:GYL524299 HIC524299:HIH524299 HRY524299:HSD524299 IBU524299:IBZ524299 ILQ524299:ILV524299 IVM524299:IVR524299 JFI524299:JFN524299 JPE524299:JPJ524299 JZA524299:JZF524299 KIW524299:KJB524299 KSS524299:KSX524299 LCO524299:LCT524299 LMK524299:LMP524299 LWG524299:LWL524299 MGC524299:MGH524299 MPY524299:MQD524299 MZU524299:MZZ524299 NJQ524299:NJV524299 NTM524299:NTR524299 ODI524299:ODN524299 ONE524299:ONJ524299 OXA524299:OXF524299 PGW524299:PHB524299 PQS524299:PQX524299 QAO524299:QAT524299 QKK524299:QKP524299 QUG524299:QUL524299 REC524299:REH524299 RNY524299:ROD524299 RXU524299:RXZ524299 SHQ524299:SHV524299 SRM524299:SRR524299 TBI524299:TBN524299 TLE524299:TLJ524299 TVA524299:TVF524299 UEW524299:UFB524299 UOS524299:UOX524299 UYO524299:UYT524299 VIK524299:VIP524299 VSG524299:VSL524299 WCC524299:WCH524299 WLY524299:WMD524299 WVU524299:WVZ524299 M589835:R589835 JI589835:JN589835 TE589835:TJ589835 ADA589835:ADF589835 AMW589835:ANB589835 AWS589835:AWX589835 BGO589835:BGT589835 BQK589835:BQP589835 CAG589835:CAL589835 CKC589835:CKH589835 CTY589835:CUD589835 DDU589835:DDZ589835 DNQ589835:DNV589835 DXM589835:DXR589835 EHI589835:EHN589835 ERE589835:ERJ589835 FBA589835:FBF589835 FKW589835:FLB589835 FUS589835:FUX589835 GEO589835:GET589835 GOK589835:GOP589835 GYG589835:GYL589835 HIC589835:HIH589835 HRY589835:HSD589835 IBU589835:IBZ589835 ILQ589835:ILV589835 IVM589835:IVR589835 JFI589835:JFN589835 JPE589835:JPJ589835 JZA589835:JZF589835 KIW589835:KJB589835 KSS589835:KSX589835 LCO589835:LCT589835 LMK589835:LMP589835 LWG589835:LWL589835 MGC589835:MGH589835 MPY589835:MQD589835 MZU589835:MZZ589835 NJQ589835:NJV589835 NTM589835:NTR589835 ODI589835:ODN589835 ONE589835:ONJ589835 OXA589835:OXF589835 PGW589835:PHB589835 PQS589835:PQX589835 QAO589835:QAT589835 QKK589835:QKP589835 QUG589835:QUL589835 REC589835:REH589835 RNY589835:ROD589835 RXU589835:RXZ589835 SHQ589835:SHV589835 SRM589835:SRR589835 TBI589835:TBN589835 TLE589835:TLJ589835 TVA589835:TVF589835 UEW589835:UFB589835 UOS589835:UOX589835 UYO589835:UYT589835 VIK589835:VIP589835 VSG589835:VSL589835 WCC589835:WCH589835 WLY589835:WMD589835 WVU589835:WVZ589835 M655371:R655371 JI655371:JN655371 TE655371:TJ655371 ADA655371:ADF655371 AMW655371:ANB655371 AWS655371:AWX655371 BGO655371:BGT655371 BQK655371:BQP655371 CAG655371:CAL655371 CKC655371:CKH655371 CTY655371:CUD655371 DDU655371:DDZ655371 DNQ655371:DNV655371 DXM655371:DXR655371 EHI655371:EHN655371 ERE655371:ERJ655371 FBA655371:FBF655371 FKW655371:FLB655371 FUS655371:FUX655371 GEO655371:GET655371 GOK655371:GOP655371 GYG655371:GYL655371 HIC655371:HIH655371 HRY655371:HSD655371 IBU655371:IBZ655371 ILQ655371:ILV655371 IVM655371:IVR655371 JFI655371:JFN655371 JPE655371:JPJ655371 JZA655371:JZF655371 KIW655371:KJB655371 KSS655371:KSX655371 LCO655371:LCT655371 LMK655371:LMP655371 LWG655371:LWL655371 MGC655371:MGH655371 MPY655371:MQD655371 MZU655371:MZZ655371 NJQ655371:NJV655371 NTM655371:NTR655371 ODI655371:ODN655371 ONE655371:ONJ655371 OXA655371:OXF655371 PGW655371:PHB655371 PQS655371:PQX655371 QAO655371:QAT655371 QKK655371:QKP655371 QUG655371:QUL655371 REC655371:REH655371 RNY655371:ROD655371 RXU655371:RXZ655371 SHQ655371:SHV655371 SRM655371:SRR655371 TBI655371:TBN655371 TLE655371:TLJ655371 TVA655371:TVF655371 UEW655371:UFB655371 UOS655371:UOX655371 UYO655371:UYT655371 VIK655371:VIP655371 VSG655371:VSL655371 WCC655371:WCH655371 WLY655371:WMD655371 WVU655371:WVZ655371 M720907:R720907 JI720907:JN720907 TE720907:TJ720907 ADA720907:ADF720907 AMW720907:ANB720907 AWS720907:AWX720907 BGO720907:BGT720907 BQK720907:BQP720907 CAG720907:CAL720907 CKC720907:CKH720907 CTY720907:CUD720907 DDU720907:DDZ720907 DNQ720907:DNV720907 DXM720907:DXR720907 EHI720907:EHN720907 ERE720907:ERJ720907 FBA720907:FBF720907 FKW720907:FLB720907 FUS720907:FUX720907 GEO720907:GET720907 GOK720907:GOP720907 GYG720907:GYL720907 HIC720907:HIH720907 HRY720907:HSD720907 IBU720907:IBZ720907 ILQ720907:ILV720907 IVM720907:IVR720907 JFI720907:JFN720907 JPE720907:JPJ720907 JZA720907:JZF720907 KIW720907:KJB720907 KSS720907:KSX720907 LCO720907:LCT720907 LMK720907:LMP720907 LWG720907:LWL720907 MGC720907:MGH720907 MPY720907:MQD720907 MZU720907:MZZ720907 NJQ720907:NJV720907 NTM720907:NTR720907 ODI720907:ODN720907 ONE720907:ONJ720907 OXA720907:OXF720907 PGW720907:PHB720907 PQS720907:PQX720907 QAO720907:QAT720907 QKK720907:QKP720907 QUG720907:QUL720907 REC720907:REH720907 RNY720907:ROD720907 RXU720907:RXZ720907 SHQ720907:SHV720907 SRM720907:SRR720907 TBI720907:TBN720907 TLE720907:TLJ720907 TVA720907:TVF720907 UEW720907:UFB720907 UOS720907:UOX720907 UYO720907:UYT720907 VIK720907:VIP720907 VSG720907:VSL720907 WCC720907:WCH720907 WLY720907:WMD720907 WVU720907:WVZ720907 M786443:R786443 JI786443:JN786443 TE786443:TJ786443 ADA786443:ADF786443 AMW786443:ANB786443 AWS786443:AWX786443 BGO786443:BGT786443 BQK786443:BQP786443 CAG786443:CAL786443 CKC786443:CKH786443 CTY786443:CUD786443 DDU786443:DDZ786443 DNQ786443:DNV786443 DXM786443:DXR786443 EHI786443:EHN786443 ERE786443:ERJ786443 FBA786443:FBF786443 FKW786443:FLB786443 FUS786443:FUX786443 GEO786443:GET786443 GOK786443:GOP786443 GYG786443:GYL786443 HIC786443:HIH786443 HRY786443:HSD786443 IBU786443:IBZ786443 ILQ786443:ILV786443 IVM786443:IVR786443 JFI786443:JFN786443 JPE786443:JPJ786443 JZA786443:JZF786443 KIW786443:KJB786443 KSS786443:KSX786443 LCO786443:LCT786443 LMK786443:LMP786443 LWG786443:LWL786443 MGC786443:MGH786443 MPY786443:MQD786443 MZU786443:MZZ786443 NJQ786443:NJV786443 NTM786443:NTR786443 ODI786443:ODN786443 ONE786443:ONJ786443 OXA786443:OXF786443 PGW786443:PHB786443 PQS786443:PQX786443 QAO786443:QAT786443 QKK786443:QKP786443 QUG786443:QUL786443 REC786443:REH786443 RNY786443:ROD786443 RXU786443:RXZ786443 SHQ786443:SHV786443 SRM786443:SRR786443 TBI786443:TBN786443 TLE786443:TLJ786443 TVA786443:TVF786443 UEW786443:UFB786443 UOS786443:UOX786443 UYO786443:UYT786443 VIK786443:VIP786443 VSG786443:VSL786443 WCC786443:WCH786443 WLY786443:WMD786443 WVU786443:WVZ786443 M851979:R851979 JI851979:JN851979 TE851979:TJ851979 ADA851979:ADF851979 AMW851979:ANB851979 AWS851979:AWX851979 BGO851979:BGT851979 BQK851979:BQP851979 CAG851979:CAL851979 CKC851979:CKH851979 CTY851979:CUD851979 DDU851979:DDZ851979 DNQ851979:DNV851979 DXM851979:DXR851979 EHI851979:EHN851979 ERE851979:ERJ851979 FBA851979:FBF851979 FKW851979:FLB851979 FUS851979:FUX851979 GEO851979:GET851979 GOK851979:GOP851979 GYG851979:GYL851979 HIC851979:HIH851979 HRY851979:HSD851979 IBU851979:IBZ851979 ILQ851979:ILV851979 IVM851979:IVR851979 JFI851979:JFN851979 JPE851979:JPJ851979 JZA851979:JZF851979 KIW851979:KJB851979 KSS851979:KSX851979 LCO851979:LCT851979 LMK851979:LMP851979 LWG851979:LWL851979 MGC851979:MGH851979 MPY851979:MQD851979 MZU851979:MZZ851979 NJQ851979:NJV851979 NTM851979:NTR851979 ODI851979:ODN851979 ONE851979:ONJ851979 OXA851979:OXF851979 PGW851979:PHB851979 PQS851979:PQX851979 QAO851979:QAT851979 QKK851979:QKP851979 QUG851979:QUL851979 REC851979:REH851979 RNY851979:ROD851979 RXU851979:RXZ851979 SHQ851979:SHV851979 SRM851979:SRR851979 TBI851979:TBN851979 TLE851979:TLJ851979 TVA851979:TVF851979 UEW851979:UFB851979 UOS851979:UOX851979 UYO851979:UYT851979 VIK851979:VIP851979 VSG851979:VSL851979 WCC851979:WCH851979 WLY851979:WMD851979 WVU851979:WVZ851979 M917515:R917515 JI917515:JN917515 TE917515:TJ917515 ADA917515:ADF917515 AMW917515:ANB917515 AWS917515:AWX917515 BGO917515:BGT917515 BQK917515:BQP917515 CAG917515:CAL917515 CKC917515:CKH917515 CTY917515:CUD917515 DDU917515:DDZ917515 DNQ917515:DNV917515 DXM917515:DXR917515 EHI917515:EHN917515 ERE917515:ERJ917515 FBA917515:FBF917515 FKW917515:FLB917515 FUS917515:FUX917515 GEO917515:GET917515 GOK917515:GOP917515 GYG917515:GYL917515 HIC917515:HIH917515 HRY917515:HSD917515 IBU917515:IBZ917515 ILQ917515:ILV917515 IVM917515:IVR917515 JFI917515:JFN917515 JPE917515:JPJ917515 JZA917515:JZF917515 KIW917515:KJB917515 KSS917515:KSX917515 LCO917515:LCT917515 LMK917515:LMP917515 LWG917515:LWL917515 MGC917515:MGH917515 MPY917515:MQD917515 MZU917515:MZZ917515 NJQ917515:NJV917515 NTM917515:NTR917515 ODI917515:ODN917515 ONE917515:ONJ917515 OXA917515:OXF917515 PGW917515:PHB917515 PQS917515:PQX917515 QAO917515:QAT917515 QKK917515:QKP917515 QUG917515:QUL917515 REC917515:REH917515 RNY917515:ROD917515 RXU917515:RXZ917515 SHQ917515:SHV917515 SRM917515:SRR917515 TBI917515:TBN917515 TLE917515:TLJ917515 TVA917515:TVF917515 UEW917515:UFB917515 UOS917515:UOX917515 UYO917515:UYT917515 VIK917515:VIP917515 VSG917515:VSL917515 WCC917515:WCH917515 WLY917515:WMD917515 WVU917515:WVZ917515 M983051:R983051 JI983051:JN983051 TE983051:TJ983051 ADA983051:ADF983051 AMW983051:ANB983051 AWS983051:AWX983051 BGO983051:BGT983051 BQK983051:BQP983051 CAG983051:CAL983051 CKC983051:CKH983051 CTY983051:CUD983051 DDU983051:DDZ983051 DNQ983051:DNV983051 DXM983051:DXR983051 EHI983051:EHN983051 ERE983051:ERJ983051 FBA983051:FBF983051 FKW983051:FLB983051 FUS983051:FUX983051 GEO983051:GET983051 GOK983051:GOP983051 GYG983051:GYL983051 HIC983051:HIH983051 HRY983051:HSD983051 IBU983051:IBZ983051 ILQ983051:ILV983051 IVM983051:IVR983051 JFI983051:JFN983051 JPE983051:JPJ983051 JZA983051:JZF983051 KIW983051:KJB983051 KSS983051:KSX983051 LCO983051:LCT983051 LMK983051:LMP983051 LWG983051:LWL983051 MGC983051:MGH983051 MPY983051:MQD983051 MZU983051:MZZ983051 NJQ983051:NJV983051 NTM983051:NTR983051 ODI983051:ODN983051 ONE983051:ONJ983051 OXA983051:OXF983051 PGW983051:PHB983051 PQS983051:PQX983051 QAO983051:QAT983051 QKK983051:QKP983051 QUG983051:QUL983051 REC983051:REH983051 RNY983051:ROD983051 RXU983051:RXZ983051 SHQ983051:SHV983051 SRM983051:SRR983051 TBI983051:TBN983051 TLE983051:TLJ983051 TVA983051:TVF983051 UEW983051:UFB983051 UOS983051:UOX983051 UYO983051:UYT983051 VIK983051:VIP983051 VSG983051:VSL983051 WCC983051:WCH983051 WLY983051:WMD983051 WVU983051:WVZ983051 F851979:K851979 JB851979:JG851979 SX851979:TC851979 ACT851979:ACY851979 AMP851979:AMU851979 AWL851979:AWQ851979 BGH851979:BGM851979 BQD851979:BQI851979 BZZ851979:CAE851979 CJV851979:CKA851979 CTR851979:CTW851979 DDN851979:DDS851979 DNJ851979:DNO851979 DXF851979:DXK851979 EHB851979:EHG851979 EQX851979:ERC851979 FAT851979:FAY851979 FKP851979:FKU851979 FUL851979:FUQ851979 GEH851979:GEM851979 GOD851979:GOI851979 GXZ851979:GYE851979 HHV851979:HIA851979 HRR851979:HRW851979 IBN851979:IBS851979 ILJ851979:ILO851979 IVF851979:IVK851979 JFB851979:JFG851979 JOX851979:JPC851979 JYT851979:JYY851979 KIP851979:KIU851979 KSL851979:KSQ851979 LCH851979:LCM851979 LMD851979:LMI851979 LVZ851979:LWE851979 MFV851979:MGA851979 MPR851979:MPW851979 MZN851979:MZS851979 NJJ851979:NJO851979 NTF851979:NTK851979 ODB851979:ODG851979 OMX851979:ONC851979 OWT851979:OWY851979 PGP851979:PGU851979 PQL851979:PQQ851979 QAH851979:QAM851979 QKD851979:QKI851979 QTZ851979:QUE851979 RDV851979:REA851979 RNR851979:RNW851979 RXN851979:RXS851979 SHJ851979:SHO851979 SRF851979:SRK851979 TBB851979:TBG851979 TKX851979:TLC851979 TUT851979:TUY851979 UEP851979:UEU851979 UOL851979:UOQ851979 UYH851979:UYM851979 VID851979:VII851979 VRZ851979:VSE851979 WBV851979:WCA851979 WLR851979:WLW851979 WVN851979:WVS851979 M65557:R65557 JI65557:JN65557 TE65557:TJ65557 ADA65557:ADF65557 AMW65557:ANB65557 AWS65557:AWX65557 BGO65557:BGT65557 BQK65557:BQP65557 CAG65557:CAL65557 CKC65557:CKH65557 CTY65557:CUD65557 DDU65557:DDZ65557 DNQ65557:DNV65557 DXM65557:DXR65557 EHI65557:EHN65557 ERE65557:ERJ65557 FBA65557:FBF65557 FKW65557:FLB65557 FUS65557:FUX65557 GEO65557:GET65557 GOK65557:GOP65557 GYG65557:GYL65557 HIC65557:HIH65557 HRY65557:HSD65557 IBU65557:IBZ65557 ILQ65557:ILV65557 IVM65557:IVR65557 JFI65557:JFN65557 JPE65557:JPJ65557 JZA65557:JZF65557 KIW65557:KJB65557 KSS65557:KSX65557 LCO65557:LCT65557 LMK65557:LMP65557 LWG65557:LWL65557 MGC65557:MGH65557 MPY65557:MQD65557 MZU65557:MZZ65557 NJQ65557:NJV65557 NTM65557:NTR65557 ODI65557:ODN65557 ONE65557:ONJ65557 OXA65557:OXF65557 PGW65557:PHB65557 PQS65557:PQX65557 QAO65557:QAT65557 QKK65557:QKP65557 QUG65557:QUL65557 REC65557:REH65557 RNY65557:ROD65557 RXU65557:RXZ65557 SHQ65557:SHV65557 SRM65557:SRR65557 TBI65557:TBN65557 TLE65557:TLJ65557 TVA65557:TVF65557 UEW65557:UFB65557 UOS65557:UOX65557 UYO65557:UYT65557 VIK65557:VIP65557 VSG65557:VSL65557 WCC65557:WCH65557 WLY65557:WMD65557 WVU65557:WVZ65557 M131093:R131093 JI131093:JN131093 TE131093:TJ131093 ADA131093:ADF131093 AMW131093:ANB131093 AWS131093:AWX131093 BGO131093:BGT131093 BQK131093:BQP131093 CAG131093:CAL131093 CKC131093:CKH131093 CTY131093:CUD131093 DDU131093:DDZ131093 DNQ131093:DNV131093 DXM131093:DXR131093 EHI131093:EHN131093 ERE131093:ERJ131093 FBA131093:FBF131093 FKW131093:FLB131093 FUS131093:FUX131093 GEO131093:GET131093 GOK131093:GOP131093 GYG131093:GYL131093 HIC131093:HIH131093 HRY131093:HSD131093 IBU131093:IBZ131093 ILQ131093:ILV131093 IVM131093:IVR131093 JFI131093:JFN131093 JPE131093:JPJ131093 JZA131093:JZF131093 KIW131093:KJB131093 KSS131093:KSX131093 LCO131093:LCT131093 LMK131093:LMP131093 LWG131093:LWL131093 MGC131093:MGH131093 MPY131093:MQD131093 MZU131093:MZZ131093 NJQ131093:NJV131093 NTM131093:NTR131093 ODI131093:ODN131093 ONE131093:ONJ131093 OXA131093:OXF131093 PGW131093:PHB131093 PQS131093:PQX131093 QAO131093:QAT131093 QKK131093:QKP131093 QUG131093:QUL131093 REC131093:REH131093 RNY131093:ROD131093 RXU131093:RXZ131093 SHQ131093:SHV131093 SRM131093:SRR131093 TBI131093:TBN131093 TLE131093:TLJ131093 TVA131093:TVF131093 UEW131093:UFB131093 UOS131093:UOX131093 UYO131093:UYT131093 VIK131093:VIP131093 VSG131093:VSL131093 WCC131093:WCH131093 WLY131093:WMD131093 WVU131093:WVZ131093 M196629:R196629 JI196629:JN196629 TE196629:TJ196629 ADA196629:ADF196629 AMW196629:ANB196629 AWS196629:AWX196629 BGO196629:BGT196629 BQK196629:BQP196629 CAG196629:CAL196629 CKC196629:CKH196629 CTY196629:CUD196629 DDU196629:DDZ196629 DNQ196629:DNV196629 DXM196629:DXR196629 EHI196629:EHN196629 ERE196629:ERJ196629 FBA196629:FBF196629 FKW196629:FLB196629 FUS196629:FUX196629 GEO196629:GET196629 GOK196629:GOP196629 GYG196629:GYL196629 HIC196629:HIH196629 HRY196629:HSD196629 IBU196629:IBZ196629 ILQ196629:ILV196629 IVM196629:IVR196629 JFI196629:JFN196629 JPE196629:JPJ196629 JZA196629:JZF196629 KIW196629:KJB196629 KSS196629:KSX196629 LCO196629:LCT196629 LMK196629:LMP196629 LWG196629:LWL196629 MGC196629:MGH196629 MPY196629:MQD196629 MZU196629:MZZ196629 NJQ196629:NJV196629 NTM196629:NTR196629 ODI196629:ODN196629 ONE196629:ONJ196629 OXA196629:OXF196629 PGW196629:PHB196629 PQS196629:PQX196629 QAO196629:QAT196629 QKK196629:QKP196629 QUG196629:QUL196629 REC196629:REH196629 RNY196629:ROD196629 RXU196629:RXZ196629 SHQ196629:SHV196629 SRM196629:SRR196629 TBI196629:TBN196629 TLE196629:TLJ196629 TVA196629:TVF196629 UEW196629:UFB196629 UOS196629:UOX196629 UYO196629:UYT196629 VIK196629:VIP196629 VSG196629:VSL196629 WCC196629:WCH196629 WLY196629:WMD196629 WVU196629:WVZ196629 M262165:R262165 JI262165:JN262165 TE262165:TJ262165 ADA262165:ADF262165 AMW262165:ANB262165 AWS262165:AWX262165 BGO262165:BGT262165 BQK262165:BQP262165 CAG262165:CAL262165 CKC262165:CKH262165 CTY262165:CUD262165 DDU262165:DDZ262165 DNQ262165:DNV262165 DXM262165:DXR262165 EHI262165:EHN262165 ERE262165:ERJ262165 FBA262165:FBF262165 FKW262165:FLB262165 FUS262165:FUX262165 GEO262165:GET262165 GOK262165:GOP262165 GYG262165:GYL262165 HIC262165:HIH262165 HRY262165:HSD262165 IBU262165:IBZ262165 ILQ262165:ILV262165 IVM262165:IVR262165 JFI262165:JFN262165 JPE262165:JPJ262165 JZA262165:JZF262165 KIW262165:KJB262165 KSS262165:KSX262165 LCO262165:LCT262165 LMK262165:LMP262165 LWG262165:LWL262165 MGC262165:MGH262165 MPY262165:MQD262165 MZU262165:MZZ262165 NJQ262165:NJV262165 NTM262165:NTR262165 ODI262165:ODN262165 ONE262165:ONJ262165 OXA262165:OXF262165 PGW262165:PHB262165 PQS262165:PQX262165 QAO262165:QAT262165 QKK262165:QKP262165 QUG262165:QUL262165 REC262165:REH262165 RNY262165:ROD262165 RXU262165:RXZ262165 SHQ262165:SHV262165 SRM262165:SRR262165 TBI262165:TBN262165 TLE262165:TLJ262165 TVA262165:TVF262165 UEW262165:UFB262165 UOS262165:UOX262165 UYO262165:UYT262165 VIK262165:VIP262165 VSG262165:VSL262165 WCC262165:WCH262165 WLY262165:WMD262165 WVU262165:WVZ262165 M327701:R327701 JI327701:JN327701 TE327701:TJ327701 ADA327701:ADF327701 AMW327701:ANB327701 AWS327701:AWX327701 BGO327701:BGT327701 BQK327701:BQP327701 CAG327701:CAL327701 CKC327701:CKH327701 CTY327701:CUD327701 DDU327701:DDZ327701 DNQ327701:DNV327701 DXM327701:DXR327701 EHI327701:EHN327701 ERE327701:ERJ327701 FBA327701:FBF327701 FKW327701:FLB327701 FUS327701:FUX327701 GEO327701:GET327701 GOK327701:GOP327701 GYG327701:GYL327701 HIC327701:HIH327701 HRY327701:HSD327701 IBU327701:IBZ327701 ILQ327701:ILV327701 IVM327701:IVR327701 JFI327701:JFN327701 JPE327701:JPJ327701 JZA327701:JZF327701 KIW327701:KJB327701 KSS327701:KSX327701 LCO327701:LCT327701 LMK327701:LMP327701 LWG327701:LWL327701 MGC327701:MGH327701 MPY327701:MQD327701 MZU327701:MZZ327701 NJQ327701:NJV327701 NTM327701:NTR327701 ODI327701:ODN327701 ONE327701:ONJ327701 OXA327701:OXF327701 PGW327701:PHB327701 PQS327701:PQX327701 QAO327701:QAT327701 QKK327701:QKP327701 QUG327701:QUL327701 REC327701:REH327701 RNY327701:ROD327701 RXU327701:RXZ327701 SHQ327701:SHV327701 SRM327701:SRR327701 TBI327701:TBN327701 TLE327701:TLJ327701 TVA327701:TVF327701 UEW327701:UFB327701 UOS327701:UOX327701 UYO327701:UYT327701 VIK327701:VIP327701 VSG327701:VSL327701 WCC327701:WCH327701 WLY327701:WMD327701 WVU327701:WVZ327701 M393237:R393237 JI393237:JN393237 TE393237:TJ393237 ADA393237:ADF393237 AMW393237:ANB393237 AWS393237:AWX393237 BGO393237:BGT393237 BQK393237:BQP393237 CAG393237:CAL393237 CKC393237:CKH393237 CTY393237:CUD393237 DDU393237:DDZ393237 DNQ393237:DNV393237 DXM393237:DXR393237 EHI393237:EHN393237 ERE393237:ERJ393237 FBA393237:FBF393237 FKW393237:FLB393237 FUS393237:FUX393237 GEO393237:GET393237 GOK393237:GOP393237 GYG393237:GYL393237 HIC393237:HIH393237 HRY393237:HSD393237 IBU393237:IBZ393237 ILQ393237:ILV393237 IVM393237:IVR393237 JFI393237:JFN393237 JPE393237:JPJ393237 JZA393237:JZF393237 KIW393237:KJB393237 KSS393237:KSX393237 LCO393237:LCT393237 LMK393237:LMP393237 LWG393237:LWL393237 MGC393237:MGH393237 MPY393237:MQD393237 MZU393237:MZZ393237 NJQ393237:NJV393237 NTM393237:NTR393237 ODI393237:ODN393237 ONE393237:ONJ393237 OXA393237:OXF393237 PGW393237:PHB393237 PQS393237:PQX393237 QAO393237:QAT393237 QKK393237:QKP393237 QUG393237:QUL393237 REC393237:REH393237 RNY393237:ROD393237 RXU393237:RXZ393237 SHQ393237:SHV393237 SRM393237:SRR393237 TBI393237:TBN393237 TLE393237:TLJ393237 TVA393237:TVF393237 UEW393237:UFB393237 UOS393237:UOX393237 UYO393237:UYT393237 VIK393237:VIP393237 VSG393237:VSL393237 WCC393237:WCH393237 WLY393237:WMD393237 WVU393237:WVZ393237 M458773:R458773 JI458773:JN458773 TE458773:TJ458773 ADA458773:ADF458773 AMW458773:ANB458773 AWS458773:AWX458773 BGO458773:BGT458773 BQK458773:BQP458773 CAG458773:CAL458773 CKC458773:CKH458773 CTY458773:CUD458773 DDU458773:DDZ458773 DNQ458773:DNV458773 DXM458773:DXR458773 EHI458773:EHN458773 ERE458773:ERJ458773 FBA458773:FBF458773 FKW458773:FLB458773 FUS458773:FUX458773 GEO458773:GET458773 GOK458773:GOP458773 GYG458773:GYL458773 HIC458773:HIH458773 HRY458773:HSD458773 IBU458773:IBZ458773 ILQ458773:ILV458773 IVM458773:IVR458773 JFI458773:JFN458773 JPE458773:JPJ458773 JZA458773:JZF458773 KIW458773:KJB458773 KSS458773:KSX458773 LCO458773:LCT458773 LMK458773:LMP458773 LWG458773:LWL458773 MGC458773:MGH458773 MPY458773:MQD458773 MZU458773:MZZ458773 NJQ458773:NJV458773 NTM458773:NTR458773 ODI458773:ODN458773 ONE458773:ONJ458773 OXA458773:OXF458773 PGW458773:PHB458773 PQS458773:PQX458773 QAO458773:QAT458773 QKK458773:QKP458773 QUG458773:QUL458773 REC458773:REH458773 RNY458773:ROD458773 RXU458773:RXZ458773 SHQ458773:SHV458773 SRM458773:SRR458773 TBI458773:TBN458773 TLE458773:TLJ458773 TVA458773:TVF458773 UEW458773:UFB458773 UOS458773:UOX458773 UYO458773:UYT458773 VIK458773:VIP458773 VSG458773:VSL458773 WCC458773:WCH458773 WLY458773:WMD458773 WVU458773:WVZ458773 M524309:R524309 JI524309:JN524309 TE524309:TJ524309 ADA524309:ADF524309 AMW524309:ANB524309 AWS524309:AWX524309 BGO524309:BGT524309 BQK524309:BQP524309 CAG524309:CAL524309 CKC524309:CKH524309 CTY524309:CUD524309 DDU524309:DDZ524309 DNQ524309:DNV524309 DXM524309:DXR524309 EHI524309:EHN524309 ERE524309:ERJ524309 FBA524309:FBF524309 FKW524309:FLB524309 FUS524309:FUX524309 GEO524309:GET524309 GOK524309:GOP524309 GYG524309:GYL524309 HIC524309:HIH524309 HRY524309:HSD524309 IBU524309:IBZ524309 ILQ524309:ILV524309 IVM524309:IVR524309 JFI524309:JFN524309 JPE524309:JPJ524309 JZA524309:JZF524309 KIW524309:KJB524309 KSS524309:KSX524309 LCO524309:LCT524309 LMK524309:LMP524309 LWG524309:LWL524309 MGC524309:MGH524309 MPY524309:MQD524309 MZU524309:MZZ524309 NJQ524309:NJV524309 NTM524309:NTR524309 ODI524309:ODN524309 ONE524309:ONJ524309 OXA524309:OXF524309 PGW524309:PHB524309 PQS524309:PQX524309 QAO524309:QAT524309 QKK524309:QKP524309 QUG524309:QUL524309 REC524309:REH524309 RNY524309:ROD524309 RXU524309:RXZ524309 SHQ524309:SHV524309 SRM524309:SRR524309 TBI524309:TBN524309 TLE524309:TLJ524309 TVA524309:TVF524309 UEW524309:UFB524309 UOS524309:UOX524309 UYO524309:UYT524309 VIK524309:VIP524309 VSG524309:VSL524309 WCC524309:WCH524309 WLY524309:WMD524309 WVU524309:WVZ524309 M589845:R589845 JI589845:JN589845 TE589845:TJ589845 ADA589845:ADF589845 AMW589845:ANB589845 AWS589845:AWX589845 BGO589845:BGT589845 BQK589845:BQP589845 CAG589845:CAL589845 CKC589845:CKH589845 CTY589845:CUD589845 DDU589845:DDZ589845 DNQ589845:DNV589845 DXM589845:DXR589845 EHI589845:EHN589845 ERE589845:ERJ589845 FBA589845:FBF589845 FKW589845:FLB589845 FUS589845:FUX589845 GEO589845:GET589845 GOK589845:GOP589845 GYG589845:GYL589845 HIC589845:HIH589845 HRY589845:HSD589845 IBU589845:IBZ589845 ILQ589845:ILV589845 IVM589845:IVR589845 JFI589845:JFN589845 JPE589845:JPJ589845 JZA589845:JZF589845 KIW589845:KJB589845 KSS589845:KSX589845 LCO589845:LCT589845 LMK589845:LMP589845 LWG589845:LWL589845 MGC589845:MGH589845 MPY589845:MQD589845 MZU589845:MZZ589845 NJQ589845:NJV589845 NTM589845:NTR589845 ODI589845:ODN589845 ONE589845:ONJ589845 OXA589845:OXF589845 PGW589845:PHB589845 PQS589845:PQX589845 QAO589845:QAT589845 QKK589845:QKP589845 QUG589845:QUL589845 REC589845:REH589845 RNY589845:ROD589845 RXU589845:RXZ589845 SHQ589845:SHV589845 SRM589845:SRR589845 TBI589845:TBN589845 TLE589845:TLJ589845 TVA589845:TVF589845 UEW589845:UFB589845 UOS589845:UOX589845 UYO589845:UYT589845 VIK589845:VIP589845 VSG589845:VSL589845 WCC589845:WCH589845 WLY589845:WMD589845 WVU589845:WVZ589845 M655381:R655381 JI655381:JN655381 TE655381:TJ655381 ADA655381:ADF655381 AMW655381:ANB655381 AWS655381:AWX655381 BGO655381:BGT655381 BQK655381:BQP655381 CAG655381:CAL655381 CKC655381:CKH655381 CTY655381:CUD655381 DDU655381:DDZ655381 DNQ655381:DNV655381 DXM655381:DXR655381 EHI655381:EHN655381 ERE655381:ERJ655381 FBA655381:FBF655381 FKW655381:FLB655381 FUS655381:FUX655381 GEO655381:GET655381 GOK655381:GOP655381 GYG655381:GYL655381 HIC655381:HIH655381 HRY655381:HSD655381 IBU655381:IBZ655381 ILQ655381:ILV655381 IVM655381:IVR655381 JFI655381:JFN655381 JPE655381:JPJ655381 JZA655381:JZF655381 KIW655381:KJB655381 KSS655381:KSX655381 LCO655381:LCT655381 LMK655381:LMP655381 LWG655381:LWL655381 MGC655381:MGH655381 MPY655381:MQD655381 MZU655381:MZZ655381 NJQ655381:NJV655381 NTM655381:NTR655381 ODI655381:ODN655381 ONE655381:ONJ655381 OXA655381:OXF655381 PGW655381:PHB655381 PQS655381:PQX655381 QAO655381:QAT655381 QKK655381:QKP655381 QUG655381:QUL655381 REC655381:REH655381 RNY655381:ROD655381 RXU655381:RXZ655381 SHQ655381:SHV655381 SRM655381:SRR655381 TBI655381:TBN655381 TLE655381:TLJ655381 TVA655381:TVF655381 UEW655381:UFB655381 UOS655381:UOX655381 UYO655381:UYT655381 VIK655381:VIP655381 VSG655381:VSL655381 WCC655381:WCH655381 WLY655381:WMD655381 WVU655381:WVZ655381 M720917:R720917 JI720917:JN720917 TE720917:TJ720917 ADA720917:ADF720917 AMW720917:ANB720917 AWS720917:AWX720917 BGO720917:BGT720917 BQK720917:BQP720917 CAG720917:CAL720917 CKC720917:CKH720917 CTY720917:CUD720917 DDU720917:DDZ720917 DNQ720917:DNV720917 DXM720917:DXR720917 EHI720917:EHN720917 ERE720917:ERJ720917 FBA720917:FBF720917 FKW720917:FLB720917 FUS720917:FUX720917 GEO720917:GET720917 GOK720917:GOP720917 GYG720917:GYL720917 HIC720917:HIH720917 HRY720917:HSD720917 IBU720917:IBZ720917 ILQ720917:ILV720917 IVM720917:IVR720917 JFI720917:JFN720917 JPE720917:JPJ720917 JZA720917:JZF720917 KIW720917:KJB720917 KSS720917:KSX720917 LCO720917:LCT720917 LMK720917:LMP720917 LWG720917:LWL720917 MGC720917:MGH720917 MPY720917:MQD720917 MZU720917:MZZ720917 NJQ720917:NJV720917 NTM720917:NTR720917 ODI720917:ODN720917 ONE720917:ONJ720917 OXA720917:OXF720917 PGW720917:PHB720917 PQS720917:PQX720917 QAO720917:QAT720917 QKK720917:QKP720917 QUG720917:QUL720917 REC720917:REH720917 RNY720917:ROD720917 RXU720917:RXZ720917 SHQ720917:SHV720917 SRM720917:SRR720917 TBI720917:TBN720917 TLE720917:TLJ720917 TVA720917:TVF720917 UEW720917:UFB720917 UOS720917:UOX720917 UYO720917:UYT720917 VIK720917:VIP720917 VSG720917:VSL720917 WCC720917:WCH720917 WLY720917:WMD720917 WVU720917:WVZ720917 M786453:R786453 JI786453:JN786453 TE786453:TJ786453 ADA786453:ADF786453 AMW786453:ANB786453 AWS786453:AWX786453 BGO786453:BGT786453 BQK786453:BQP786453 CAG786453:CAL786453 CKC786453:CKH786453 CTY786453:CUD786453 DDU786453:DDZ786453 DNQ786453:DNV786453 DXM786453:DXR786453 EHI786453:EHN786453 ERE786453:ERJ786453 FBA786453:FBF786453 FKW786453:FLB786453 FUS786453:FUX786453 GEO786453:GET786453 GOK786453:GOP786453 GYG786453:GYL786453 HIC786453:HIH786453 HRY786453:HSD786453 IBU786453:IBZ786453 ILQ786453:ILV786453 IVM786453:IVR786453 JFI786453:JFN786453 JPE786453:JPJ786453 JZA786453:JZF786453 KIW786453:KJB786453 KSS786453:KSX786453 LCO786453:LCT786453 LMK786453:LMP786453 LWG786453:LWL786453 MGC786453:MGH786453 MPY786453:MQD786453 MZU786453:MZZ786453 NJQ786453:NJV786453 NTM786453:NTR786453 ODI786453:ODN786453 ONE786453:ONJ786453 OXA786453:OXF786453 PGW786453:PHB786453 PQS786453:PQX786453 QAO786453:QAT786453 QKK786453:QKP786453 QUG786453:QUL786453 REC786453:REH786453 RNY786453:ROD786453 RXU786453:RXZ786453 SHQ786453:SHV786453 SRM786453:SRR786453 TBI786453:TBN786453 TLE786453:TLJ786453 TVA786453:TVF786453 UEW786453:UFB786453 UOS786453:UOX786453 UYO786453:UYT786453 VIK786453:VIP786453 VSG786453:VSL786453 WCC786453:WCH786453 WLY786453:WMD786453 WVU786453:WVZ786453 M851989:R851989 JI851989:JN851989 TE851989:TJ851989 ADA851989:ADF851989 AMW851989:ANB851989 AWS851989:AWX851989 BGO851989:BGT851989 BQK851989:BQP851989 CAG851989:CAL851989 CKC851989:CKH851989 CTY851989:CUD851989 DDU851989:DDZ851989 DNQ851989:DNV851989 DXM851989:DXR851989 EHI851989:EHN851989 ERE851989:ERJ851989 FBA851989:FBF851989 FKW851989:FLB851989 FUS851989:FUX851989 GEO851989:GET851989 GOK851989:GOP851989 GYG851989:GYL851989 HIC851989:HIH851989 HRY851989:HSD851989 IBU851989:IBZ851989 ILQ851989:ILV851989 IVM851989:IVR851989 JFI851989:JFN851989 JPE851989:JPJ851989 JZA851989:JZF851989 KIW851989:KJB851989 KSS851989:KSX851989 LCO851989:LCT851989 LMK851989:LMP851989 LWG851989:LWL851989 MGC851989:MGH851989 MPY851989:MQD851989 MZU851989:MZZ851989 NJQ851989:NJV851989 NTM851989:NTR851989 ODI851989:ODN851989 ONE851989:ONJ851989 OXA851989:OXF851989 PGW851989:PHB851989 PQS851989:PQX851989 QAO851989:QAT851989 QKK851989:QKP851989 QUG851989:QUL851989 REC851989:REH851989 RNY851989:ROD851989 RXU851989:RXZ851989 SHQ851989:SHV851989 SRM851989:SRR851989 TBI851989:TBN851989 TLE851989:TLJ851989 TVA851989:TVF851989 UEW851989:UFB851989 UOS851989:UOX851989 UYO851989:UYT851989 VIK851989:VIP851989 VSG851989:VSL851989 WCC851989:WCH851989 WLY851989:WMD851989 WVU851989:WVZ851989 M917525:R917525 JI917525:JN917525 TE917525:TJ917525 ADA917525:ADF917525 AMW917525:ANB917525 AWS917525:AWX917525 BGO917525:BGT917525 BQK917525:BQP917525 CAG917525:CAL917525 CKC917525:CKH917525 CTY917525:CUD917525 DDU917525:DDZ917525 DNQ917525:DNV917525 DXM917525:DXR917525 EHI917525:EHN917525 ERE917525:ERJ917525 FBA917525:FBF917525 FKW917525:FLB917525 FUS917525:FUX917525 GEO917525:GET917525 GOK917525:GOP917525 GYG917525:GYL917525 HIC917525:HIH917525 HRY917525:HSD917525 IBU917525:IBZ917525 ILQ917525:ILV917525 IVM917525:IVR917525 JFI917525:JFN917525 JPE917525:JPJ917525 JZA917525:JZF917525 KIW917525:KJB917525 KSS917525:KSX917525 LCO917525:LCT917525 LMK917525:LMP917525 LWG917525:LWL917525 MGC917525:MGH917525 MPY917525:MQD917525 MZU917525:MZZ917525 NJQ917525:NJV917525 NTM917525:NTR917525 ODI917525:ODN917525 ONE917525:ONJ917525 OXA917525:OXF917525 PGW917525:PHB917525 PQS917525:PQX917525 QAO917525:QAT917525 QKK917525:QKP917525 QUG917525:QUL917525 REC917525:REH917525 RNY917525:ROD917525 RXU917525:RXZ917525 SHQ917525:SHV917525 SRM917525:SRR917525 TBI917525:TBN917525 TLE917525:TLJ917525 TVA917525:TVF917525 UEW917525:UFB917525 UOS917525:UOX917525 UYO917525:UYT917525 VIK917525:VIP917525 VSG917525:VSL917525 WCC917525:WCH917525 WLY917525:WMD917525 WVU917525:WVZ917525 M983061:R983061 JI983061:JN983061 TE983061:TJ983061 ADA983061:ADF983061 AMW983061:ANB983061 AWS983061:AWX983061 BGO983061:BGT983061 BQK983061:BQP983061 CAG983061:CAL983061 CKC983061:CKH983061 CTY983061:CUD983061 DDU983061:DDZ983061 DNQ983061:DNV983061 DXM983061:DXR983061 EHI983061:EHN983061 ERE983061:ERJ983061 FBA983061:FBF983061 FKW983061:FLB983061 FUS983061:FUX983061 GEO983061:GET983061 GOK983061:GOP983061 GYG983061:GYL983061 HIC983061:HIH983061 HRY983061:HSD983061 IBU983061:IBZ983061 ILQ983061:ILV983061 IVM983061:IVR983061 JFI983061:JFN983061 JPE983061:JPJ983061 JZA983061:JZF983061 KIW983061:KJB983061 KSS983061:KSX983061 LCO983061:LCT983061 LMK983061:LMP983061 LWG983061:LWL983061 MGC983061:MGH983061 MPY983061:MQD983061 MZU983061:MZZ983061 NJQ983061:NJV983061 NTM983061:NTR983061 ODI983061:ODN983061 ONE983061:ONJ983061 OXA983061:OXF983061 PGW983061:PHB983061 PQS983061:PQX983061 QAO983061:QAT983061 QKK983061:QKP983061 QUG983061:QUL983061 REC983061:REH983061 RNY983061:ROD983061 RXU983061:RXZ983061 SHQ983061:SHV983061 SRM983061:SRR983061 TBI983061:TBN983061 TLE983061:TLJ983061 TVA983061:TVF983061 UEW983061:UFB983061 UOS983061:UOX983061 UYO983061:UYT983061 VIK983061:VIP983061 VSG983061:VSL983061 WCC983061:WCH983061 WLY983061:WMD983061 WVU983061:WVZ983061 F917515:K917515 JB917515:JG917515 SX917515:TC917515 ACT917515:ACY917515 AMP917515:AMU917515 AWL917515:AWQ917515 BGH917515:BGM917515 BQD917515:BQI917515 BZZ917515:CAE917515 CJV917515:CKA917515 CTR917515:CTW917515 DDN917515:DDS917515 DNJ917515:DNO917515 DXF917515:DXK917515 EHB917515:EHG917515 EQX917515:ERC917515 FAT917515:FAY917515 FKP917515:FKU917515 FUL917515:FUQ917515 GEH917515:GEM917515 GOD917515:GOI917515 GXZ917515:GYE917515 HHV917515:HIA917515 HRR917515:HRW917515 IBN917515:IBS917515 ILJ917515:ILO917515 IVF917515:IVK917515 JFB917515:JFG917515 JOX917515:JPC917515 JYT917515:JYY917515 KIP917515:KIU917515 KSL917515:KSQ917515 LCH917515:LCM917515 LMD917515:LMI917515 LVZ917515:LWE917515 MFV917515:MGA917515 MPR917515:MPW917515 MZN917515:MZS917515 NJJ917515:NJO917515 NTF917515:NTK917515 ODB917515:ODG917515 OMX917515:ONC917515 OWT917515:OWY917515 PGP917515:PGU917515 PQL917515:PQQ917515 QAH917515:QAM917515 QKD917515:QKI917515 QTZ917515:QUE917515 RDV917515:REA917515 RNR917515:RNW917515 RXN917515:RXS917515 SHJ917515:SHO917515 SRF917515:SRK917515 TBB917515:TBG917515 TKX917515:TLC917515 TUT917515:TUY917515 UEP917515:UEU917515 UOL917515:UOQ917515 UYH917515:UYM917515 VID917515:VII917515 VRZ917515:VSE917515 WBV917515:WCA917515 WLR917515:WLW917515 WVN917515:WVS917515 F65557:K65557 JB65557:JG65557 SX65557:TC65557 ACT65557:ACY65557 AMP65557:AMU65557 AWL65557:AWQ65557 BGH65557:BGM65557 BQD65557:BQI65557 BZZ65557:CAE65557 CJV65557:CKA65557 CTR65557:CTW65557 DDN65557:DDS65557 DNJ65557:DNO65557 DXF65557:DXK65557 EHB65557:EHG65557 EQX65557:ERC65557 FAT65557:FAY65557 FKP65557:FKU65557 FUL65557:FUQ65557 GEH65557:GEM65557 GOD65557:GOI65557 GXZ65557:GYE65557 HHV65557:HIA65557 HRR65557:HRW65557 IBN65557:IBS65557 ILJ65557:ILO65557 IVF65557:IVK65557 JFB65557:JFG65557 JOX65557:JPC65557 JYT65557:JYY65557 KIP65557:KIU65557 KSL65557:KSQ65557 LCH65557:LCM65557 LMD65557:LMI65557 LVZ65557:LWE65557 MFV65557:MGA65557 MPR65557:MPW65557 MZN65557:MZS65557 NJJ65557:NJO65557 NTF65557:NTK65557 ODB65557:ODG65557 OMX65557:ONC65557 OWT65557:OWY65557 PGP65557:PGU65557 PQL65557:PQQ65557 QAH65557:QAM65557 QKD65557:QKI65557 QTZ65557:QUE65557 RDV65557:REA65557 RNR65557:RNW65557 RXN65557:RXS65557 SHJ65557:SHO65557 SRF65557:SRK65557 TBB65557:TBG65557 TKX65557:TLC65557 TUT65557:TUY65557 UEP65557:UEU65557 UOL65557:UOQ65557 UYH65557:UYM65557 VID65557:VII65557 VRZ65557:VSE65557 WBV65557:WCA65557 WLR65557:WLW65557 WVN65557:WVS65557 F131093:K131093 JB131093:JG131093 SX131093:TC131093 ACT131093:ACY131093 AMP131093:AMU131093 AWL131093:AWQ131093 BGH131093:BGM131093 BQD131093:BQI131093 BZZ131093:CAE131093 CJV131093:CKA131093 CTR131093:CTW131093 DDN131093:DDS131093 DNJ131093:DNO131093 DXF131093:DXK131093 EHB131093:EHG131093 EQX131093:ERC131093 FAT131093:FAY131093 FKP131093:FKU131093 FUL131093:FUQ131093 GEH131093:GEM131093 GOD131093:GOI131093 GXZ131093:GYE131093 HHV131093:HIA131093 HRR131093:HRW131093 IBN131093:IBS131093 ILJ131093:ILO131093 IVF131093:IVK131093 JFB131093:JFG131093 JOX131093:JPC131093 JYT131093:JYY131093 KIP131093:KIU131093 KSL131093:KSQ131093 LCH131093:LCM131093 LMD131093:LMI131093 LVZ131093:LWE131093 MFV131093:MGA131093 MPR131093:MPW131093 MZN131093:MZS131093 NJJ131093:NJO131093 NTF131093:NTK131093 ODB131093:ODG131093 OMX131093:ONC131093 OWT131093:OWY131093 PGP131093:PGU131093 PQL131093:PQQ131093 QAH131093:QAM131093 QKD131093:QKI131093 QTZ131093:QUE131093 RDV131093:REA131093 RNR131093:RNW131093 RXN131093:RXS131093 SHJ131093:SHO131093 SRF131093:SRK131093 TBB131093:TBG131093 TKX131093:TLC131093 TUT131093:TUY131093 UEP131093:UEU131093 UOL131093:UOQ131093 UYH131093:UYM131093 VID131093:VII131093 VRZ131093:VSE131093 WBV131093:WCA131093 WLR131093:WLW131093 WVN131093:WVS131093 F196629:K196629 JB196629:JG196629 SX196629:TC196629 ACT196629:ACY196629 AMP196629:AMU196629 AWL196629:AWQ196629 BGH196629:BGM196629 BQD196629:BQI196629 BZZ196629:CAE196629 CJV196629:CKA196629 CTR196629:CTW196629 DDN196629:DDS196629 DNJ196629:DNO196629 DXF196629:DXK196629 EHB196629:EHG196629 EQX196629:ERC196629 FAT196629:FAY196629 FKP196629:FKU196629 FUL196629:FUQ196629 GEH196629:GEM196629 GOD196629:GOI196629 GXZ196629:GYE196629 HHV196629:HIA196629 HRR196629:HRW196629 IBN196629:IBS196629 ILJ196629:ILO196629 IVF196629:IVK196629 JFB196629:JFG196629 JOX196629:JPC196629 JYT196629:JYY196629 KIP196629:KIU196629 KSL196629:KSQ196629 LCH196629:LCM196629 LMD196629:LMI196629 LVZ196629:LWE196629 MFV196629:MGA196629 MPR196629:MPW196629 MZN196629:MZS196629 NJJ196629:NJO196629 NTF196629:NTK196629 ODB196629:ODG196629 OMX196629:ONC196629 OWT196629:OWY196629 PGP196629:PGU196629 PQL196629:PQQ196629 QAH196629:QAM196629 QKD196629:QKI196629 QTZ196629:QUE196629 RDV196629:REA196629 RNR196629:RNW196629 RXN196629:RXS196629 SHJ196629:SHO196629 SRF196629:SRK196629 TBB196629:TBG196629 TKX196629:TLC196629 TUT196629:TUY196629 UEP196629:UEU196629 UOL196629:UOQ196629 UYH196629:UYM196629 VID196629:VII196629 VRZ196629:VSE196629 WBV196629:WCA196629 WLR196629:WLW196629 WVN196629:WVS196629 F262165:K262165 JB262165:JG262165 SX262165:TC262165 ACT262165:ACY262165 AMP262165:AMU262165 AWL262165:AWQ262165 BGH262165:BGM262165 BQD262165:BQI262165 BZZ262165:CAE262165 CJV262165:CKA262165 CTR262165:CTW262165 DDN262165:DDS262165 DNJ262165:DNO262165 DXF262165:DXK262165 EHB262165:EHG262165 EQX262165:ERC262165 FAT262165:FAY262165 FKP262165:FKU262165 FUL262165:FUQ262165 GEH262165:GEM262165 GOD262165:GOI262165 GXZ262165:GYE262165 HHV262165:HIA262165 HRR262165:HRW262165 IBN262165:IBS262165 ILJ262165:ILO262165 IVF262165:IVK262165 JFB262165:JFG262165 JOX262165:JPC262165 JYT262165:JYY262165 KIP262165:KIU262165 KSL262165:KSQ262165 LCH262165:LCM262165 LMD262165:LMI262165 LVZ262165:LWE262165 MFV262165:MGA262165 MPR262165:MPW262165 MZN262165:MZS262165 NJJ262165:NJO262165 NTF262165:NTK262165 ODB262165:ODG262165 OMX262165:ONC262165 OWT262165:OWY262165 PGP262165:PGU262165 PQL262165:PQQ262165 QAH262165:QAM262165 QKD262165:QKI262165 QTZ262165:QUE262165 RDV262165:REA262165 RNR262165:RNW262165 RXN262165:RXS262165 SHJ262165:SHO262165 SRF262165:SRK262165 TBB262165:TBG262165 TKX262165:TLC262165 TUT262165:TUY262165 UEP262165:UEU262165 UOL262165:UOQ262165 UYH262165:UYM262165 VID262165:VII262165 VRZ262165:VSE262165 WBV262165:WCA262165 WLR262165:WLW262165 WVN262165:WVS262165 F327701:K327701 JB327701:JG327701 SX327701:TC327701 ACT327701:ACY327701 AMP327701:AMU327701 AWL327701:AWQ327701 BGH327701:BGM327701 BQD327701:BQI327701 BZZ327701:CAE327701 CJV327701:CKA327701 CTR327701:CTW327701 DDN327701:DDS327701 DNJ327701:DNO327701 DXF327701:DXK327701 EHB327701:EHG327701 EQX327701:ERC327701 FAT327701:FAY327701 FKP327701:FKU327701 FUL327701:FUQ327701 GEH327701:GEM327701 GOD327701:GOI327701 GXZ327701:GYE327701 HHV327701:HIA327701 HRR327701:HRW327701 IBN327701:IBS327701 ILJ327701:ILO327701 IVF327701:IVK327701 JFB327701:JFG327701 JOX327701:JPC327701 JYT327701:JYY327701 KIP327701:KIU327701 KSL327701:KSQ327701 LCH327701:LCM327701 LMD327701:LMI327701 LVZ327701:LWE327701 MFV327701:MGA327701 MPR327701:MPW327701 MZN327701:MZS327701 NJJ327701:NJO327701 NTF327701:NTK327701 ODB327701:ODG327701 OMX327701:ONC327701 OWT327701:OWY327701 PGP327701:PGU327701 PQL327701:PQQ327701 QAH327701:QAM327701 QKD327701:QKI327701 QTZ327701:QUE327701 RDV327701:REA327701 RNR327701:RNW327701 RXN327701:RXS327701 SHJ327701:SHO327701 SRF327701:SRK327701 TBB327701:TBG327701 TKX327701:TLC327701 TUT327701:TUY327701 UEP327701:UEU327701 UOL327701:UOQ327701 UYH327701:UYM327701 VID327701:VII327701 VRZ327701:VSE327701 WBV327701:WCA327701 WLR327701:WLW327701 WVN327701:WVS327701 F393237:K393237 JB393237:JG393237 SX393237:TC393237 ACT393237:ACY393237 AMP393237:AMU393237 AWL393237:AWQ393237 BGH393237:BGM393237 BQD393237:BQI393237 BZZ393237:CAE393237 CJV393237:CKA393237 CTR393237:CTW393237 DDN393237:DDS393237 DNJ393237:DNO393237 DXF393237:DXK393237 EHB393237:EHG393237 EQX393237:ERC393237 FAT393237:FAY393237 FKP393237:FKU393237 FUL393237:FUQ393237 GEH393237:GEM393237 GOD393237:GOI393237 GXZ393237:GYE393237 HHV393237:HIA393237 HRR393237:HRW393237 IBN393237:IBS393237 ILJ393237:ILO393237 IVF393237:IVK393237 JFB393237:JFG393237 JOX393237:JPC393237 JYT393237:JYY393237 KIP393237:KIU393237 KSL393237:KSQ393237 LCH393237:LCM393237 LMD393237:LMI393237 LVZ393237:LWE393237 MFV393237:MGA393237 MPR393237:MPW393237 MZN393237:MZS393237 NJJ393237:NJO393237 NTF393237:NTK393237 ODB393237:ODG393237 OMX393237:ONC393237 OWT393237:OWY393237 PGP393237:PGU393237 PQL393237:PQQ393237 QAH393237:QAM393237 QKD393237:QKI393237 QTZ393237:QUE393237 RDV393237:REA393237 RNR393237:RNW393237 RXN393237:RXS393237 SHJ393237:SHO393237 SRF393237:SRK393237 TBB393237:TBG393237 TKX393237:TLC393237 TUT393237:TUY393237 UEP393237:UEU393237 UOL393237:UOQ393237 UYH393237:UYM393237 VID393237:VII393237 VRZ393237:VSE393237 WBV393237:WCA393237 WLR393237:WLW393237 WVN393237:WVS393237 F458773:K458773 JB458773:JG458773 SX458773:TC458773 ACT458773:ACY458773 AMP458773:AMU458773 AWL458773:AWQ458773 BGH458773:BGM458773 BQD458773:BQI458773 BZZ458773:CAE458773 CJV458773:CKA458773 CTR458773:CTW458773 DDN458773:DDS458773 DNJ458773:DNO458773 DXF458773:DXK458773 EHB458773:EHG458773 EQX458773:ERC458773 FAT458773:FAY458773 FKP458773:FKU458773 FUL458773:FUQ458773 GEH458773:GEM458773 GOD458773:GOI458773 GXZ458773:GYE458773 HHV458773:HIA458773 HRR458773:HRW458773 IBN458773:IBS458773 ILJ458773:ILO458773 IVF458773:IVK458773 JFB458773:JFG458773 JOX458773:JPC458773 JYT458773:JYY458773 KIP458773:KIU458773 KSL458773:KSQ458773 LCH458773:LCM458773 LMD458773:LMI458773 LVZ458773:LWE458773 MFV458773:MGA458773 MPR458773:MPW458773 MZN458773:MZS458773 NJJ458773:NJO458773 NTF458773:NTK458773 ODB458773:ODG458773 OMX458773:ONC458773 OWT458773:OWY458773 PGP458773:PGU458773 PQL458773:PQQ458773 QAH458773:QAM458773 QKD458773:QKI458773 QTZ458773:QUE458773 RDV458773:REA458773 RNR458773:RNW458773 RXN458773:RXS458773 SHJ458773:SHO458773 SRF458773:SRK458773 TBB458773:TBG458773 TKX458773:TLC458773 TUT458773:TUY458773 UEP458773:UEU458773 UOL458773:UOQ458773 UYH458773:UYM458773 VID458773:VII458773 VRZ458773:VSE458773 WBV458773:WCA458773 WLR458773:WLW458773 WVN458773:WVS458773 F524309:K524309 JB524309:JG524309 SX524309:TC524309 ACT524309:ACY524309 AMP524309:AMU524309 AWL524309:AWQ524309 BGH524309:BGM524309 BQD524309:BQI524309 BZZ524309:CAE524309 CJV524309:CKA524309 CTR524309:CTW524309 DDN524309:DDS524309 DNJ524309:DNO524309 DXF524309:DXK524309 EHB524309:EHG524309 EQX524309:ERC524309 FAT524309:FAY524309 FKP524309:FKU524309 FUL524309:FUQ524309 GEH524309:GEM524309 GOD524309:GOI524309 GXZ524309:GYE524309 HHV524309:HIA524309 HRR524309:HRW524309 IBN524309:IBS524309 ILJ524309:ILO524309 IVF524309:IVK524309 JFB524309:JFG524309 JOX524309:JPC524309 JYT524309:JYY524309 KIP524309:KIU524309 KSL524309:KSQ524309 LCH524309:LCM524309 LMD524309:LMI524309 LVZ524309:LWE524309 MFV524309:MGA524309 MPR524309:MPW524309 MZN524309:MZS524309 NJJ524309:NJO524309 NTF524309:NTK524309 ODB524309:ODG524309 OMX524309:ONC524309 OWT524309:OWY524309 PGP524309:PGU524309 PQL524309:PQQ524309 QAH524309:QAM524309 QKD524309:QKI524309 QTZ524309:QUE524309 RDV524309:REA524309 RNR524309:RNW524309 RXN524309:RXS524309 SHJ524309:SHO524309 SRF524309:SRK524309 TBB524309:TBG524309 TKX524309:TLC524309 TUT524309:TUY524309 UEP524309:UEU524309 UOL524309:UOQ524309 UYH524309:UYM524309 VID524309:VII524309 VRZ524309:VSE524309 WBV524309:WCA524309 WLR524309:WLW524309 WVN524309:WVS524309 F589845:K589845 JB589845:JG589845 SX589845:TC589845 ACT589845:ACY589845 AMP589845:AMU589845 AWL589845:AWQ589845 BGH589845:BGM589845 BQD589845:BQI589845 BZZ589845:CAE589845 CJV589845:CKA589845 CTR589845:CTW589845 DDN589845:DDS589845 DNJ589845:DNO589845 DXF589845:DXK589845 EHB589845:EHG589845 EQX589845:ERC589845 FAT589845:FAY589845 FKP589845:FKU589845 FUL589845:FUQ589845 GEH589845:GEM589845 GOD589845:GOI589845 GXZ589845:GYE589845 HHV589845:HIA589845 HRR589845:HRW589845 IBN589845:IBS589845 ILJ589845:ILO589845 IVF589845:IVK589845 JFB589845:JFG589845 JOX589845:JPC589845 JYT589845:JYY589845 KIP589845:KIU589845 KSL589845:KSQ589845 LCH589845:LCM589845 LMD589845:LMI589845 LVZ589845:LWE589845 MFV589845:MGA589845 MPR589845:MPW589845 MZN589845:MZS589845 NJJ589845:NJO589845 NTF589845:NTK589845 ODB589845:ODG589845 OMX589845:ONC589845 OWT589845:OWY589845 PGP589845:PGU589845 PQL589845:PQQ589845 QAH589845:QAM589845 QKD589845:QKI589845 QTZ589845:QUE589845 RDV589845:REA589845 RNR589845:RNW589845 RXN589845:RXS589845 SHJ589845:SHO589845 SRF589845:SRK589845 TBB589845:TBG589845 TKX589845:TLC589845 TUT589845:TUY589845 UEP589845:UEU589845 UOL589845:UOQ589845 UYH589845:UYM589845 VID589845:VII589845 VRZ589845:VSE589845 WBV589845:WCA589845 WLR589845:WLW589845 WVN589845:WVS589845 F655381:K655381 JB655381:JG655381 SX655381:TC655381 ACT655381:ACY655381 AMP655381:AMU655381 AWL655381:AWQ655381 BGH655381:BGM655381 BQD655381:BQI655381 BZZ655381:CAE655381 CJV655381:CKA655381 CTR655381:CTW655381 DDN655381:DDS655381 DNJ655381:DNO655381 DXF655381:DXK655381 EHB655381:EHG655381 EQX655381:ERC655381 FAT655381:FAY655381 FKP655381:FKU655381 FUL655381:FUQ655381 GEH655381:GEM655381 GOD655381:GOI655381 GXZ655381:GYE655381 HHV655381:HIA655381 HRR655381:HRW655381 IBN655381:IBS655381 ILJ655381:ILO655381 IVF655381:IVK655381 JFB655381:JFG655381 JOX655381:JPC655381 JYT655381:JYY655381 KIP655381:KIU655381 KSL655381:KSQ655381 LCH655381:LCM655381 LMD655381:LMI655381 LVZ655381:LWE655381 MFV655381:MGA655381 MPR655381:MPW655381 MZN655381:MZS655381 NJJ655381:NJO655381 NTF655381:NTK655381 ODB655381:ODG655381 OMX655381:ONC655381 OWT655381:OWY655381 PGP655381:PGU655381 PQL655381:PQQ655381 QAH655381:QAM655381 QKD655381:QKI655381 QTZ655381:QUE655381 RDV655381:REA655381 RNR655381:RNW655381 RXN655381:RXS655381 SHJ655381:SHO655381 SRF655381:SRK655381 TBB655381:TBG655381 TKX655381:TLC655381 TUT655381:TUY655381 UEP655381:UEU655381 UOL655381:UOQ655381 UYH655381:UYM655381 VID655381:VII655381 VRZ655381:VSE655381 WBV655381:WCA655381 WLR655381:WLW655381 WVN655381:WVS655381 F720917:K720917 JB720917:JG720917 SX720917:TC720917 ACT720917:ACY720917 AMP720917:AMU720917 AWL720917:AWQ720917 BGH720917:BGM720917 BQD720917:BQI720917 BZZ720917:CAE720917 CJV720917:CKA720917 CTR720917:CTW720917 DDN720917:DDS720917 DNJ720917:DNO720917 DXF720917:DXK720917 EHB720917:EHG720917 EQX720917:ERC720917 FAT720917:FAY720917 FKP720917:FKU720917 FUL720917:FUQ720917 GEH720917:GEM720917 GOD720917:GOI720917 GXZ720917:GYE720917 HHV720917:HIA720917 HRR720917:HRW720917 IBN720917:IBS720917 ILJ720917:ILO720917 IVF720917:IVK720917 JFB720917:JFG720917 JOX720917:JPC720917 JYT720917:JYY720917 KIP720917:KIU720917 KSL720917:KSQ720917 LCH720917:LCM720917 LMD720917:LMI720917 LVZ720917:LWE720917 MFV720917:MGA720917 MPR720917:MPW720917 MZN720917:MZS720917 NJJ720917:NJO720917 NTF720917:NTK720917 ODB720917:ODG720917 OMX720917:ONC720917 OWT720917:OWY720917 PGP720917:PGU720917 PQL720917:PQQ720917 QAH720917:QAM720917 QKD720917:QKI720917 QTZ720917:QUE720917 RDV720917:REA720917 RNR720917:RNW720917 RXN720917:RXS720917 SHJ720917:SHO720917 SRF720917:SRK720917 TBB720917:TBG720917 TKX720917:TLC720917 TUT720917:TUY720917 UEP720917:UEU720917 UOL720917:UOQ720917 UYH720917:UYM720917 VID720917:VII720917 VRZ720917:VSE720917 WBV720917:WCA720917 WLR720917:WLW720917 WVN720917:WVS720917 F786453:K786453 JB786453:JG786453 SX786453:TC786453 ACT786453:ACY786453 AMP786453:AMU786453 AWL786453:AWQ786453 BGH786453:BGM786453 BQD786453:BQI786453 BZZ786453:CAE786453 CJV786453:CKA786453 CTR786453:CTW786453 DDN786453:DDS786453 DNJ786453:DNO786453 DXF786453:DXK786453 EHB786453:EHG786453 EQX786453:ERC786453 FAT786453:FAY786453 FKP786453:FKU786453 FUL786453:FUQ786453 GEH786453:GEM786453 GOD786453:GOI786453 GXZ786453:GYE786453 HHV786453:HIA786453 HRR786453:HRW786453 IBN786453:IBS786453 ILJ786453:ILO786453 IVF786453:IVK786453 JFB786453:JFG786453 JOX786453:JPC786453 JYT786453:JYY786453 KIP786453:KIU786453 KSL786453:KSQ786453 LCH786453:LCM786453 LMD786453:LMI786453 LVZ786453:LWE786453 MFV786453:MGA786453 MPR786453:MPW786453 MZN786453:MZS786453 NJJ786453:NJO786453 NTF786453:NTK786453 ODB786453:ODG786453 OMX786453:ONC786453 OWT786453:OWY786453 PGP786453:PGU786453 PQL786453:PQQ786453 QAH786453:QAM786453 QKD786453:QKI786453 QTZ786453:QUE786453 RDV786453:REA786453 RNR786453:RNW786453 RXN786453:RXS786453 SHJ786453:SHO786453 SRF786453:SRK786453 TBB786453:TBG786453 TKX786453:TLC786453 TUT786453:TUY786453 UEP786453:UEU786453 UOL786453:UOQ786453 UYH786453:UYM786453 VID786453:VII786453 VRZ786453:VSE786453 WBV786453:WCA786453 WLR786453:WLW786453 WVN786453:WVS786453 F851989:K851989 JB851989:JG851989 SX851989:TC851989 ACT851989:ACY851989 AMP851989:AMU851989 AWL851989:AWQ851989 BGH851989:BGM851989 BQD851989:BQI851989 BZZ851989:CAE851989 CJV851989:CKA851989 CTR851989:CTW851989 DDN851989:DDS851989 DNJ851989:DNO851989 DXF851989:DXK851989 EHB851989:EHG851989 EQX851989:ERC851989 FAT851989:FAY851989 FKP851989:FKU851989 FUL851989:FUQ851989 GEH851989:GEM851989 GOD851989:GOI851989 GXZ851989:GYE851989 HHV851989:HIA851989 HRR851989:HRW851989 IBN851989:IBS851989 ILJ851989:ILO851989 IVF851989:IVK851989 JFB851989:JFG851989 JOX851989:JPC851989 JYT851989:JYY851989 KIP851989:KIU851989 KSL851989:KSQ851989 LCH851989:LCM851989 LMD851989:LMI851989 LVZ851989:LWE851989 MFV851989:MGA851989 MPR851989:MPW851989 MZN851989:MZS851989 NJJ851989:NJO851989 NTF851989:NTK851989 ODB851989:ODG851989 OMX851989:ONC851989 OWT851989:OWY851989 PGP851989:PGU851989 PQL851989:PQQ851989 QAH851989:QAM851989 QKD851989:QKI851989 QTZ851989:QUE851989 RDV851989:REA851989 RNR851989:RNW851989 RXN851989:RXS851989 SHJ851989:SHO851989 SRF851989:SRK851989 TBB851989:TBG851989 TKX851989:TLC851989 TUT851989:TUY851989 UEP851989:UEU851989 UOL851989:UOQ851989 UYH851989:UYM851989 VID851989:VII851989 VRZ851989:VSE851989 WBV851989:WCA851989 WLR851989:WLW851989 WVN851989:WVS851989 F917525:K917525 JB917525:JG917525 SX917525:TC917525 ACT917525:ACY917525 AMP917525:AMU917525 AWL917525:AWQ917525 BGH917525:BGM917525 BQD917525:BQI917525 BZZ917525:CAE917525 CJV917525:CKA917525 CTR917525:CTW917525 DDN917525:DDS917525 DNJ917525:DNO917525 DXF917525:DXK917525 EHB917525:EHG917525 EQX917525:ERC917525 FAT917525:FAY917525 FKP917525:FKU917525 FUL917525:FUQ917525 GEH917525:GEM917525 GOD917525:GOI917525 GXZ917525:GYE917525 HHV917525:HIA917525 HRR917525:HRW917525 IBN917525:IBS917525 ILJ917525:ILO917525 IVF917525:IVK917525 JFB917525:JFG917525 JOX917525:JPC917525 JYT917525:JYY917525 KIP917525:KIU917525 KSL917525:KSQ917525 LCH917525:LCM917525 LMD917525:LMI917525 LVZ917525:LWE917525 MFV917525:MGA917525 MPR917525:MPW917525 MZN917525:MZS917525 NJJ917525:NJO917525 NTF917525:NTK917525 ODB917525:ODG917525 OMX917525:ONC917525 OWT917525:OWY917525 PGP917525:PGU917525 PQL917525:PQQ917525 QAH917525:QAM917525 QKD917525:QKI917525 QTZ917525:QUE917525 RDV917525:REA917525 RNR917525:RNW917525 RXN917525:RXS917525 SHJ917525:SHO917525 SRF917525:SRK917525 TBB917525:TBG917525 TKX917525:TLC917525 TUT917525:TUY917525 UEP917525:UEU917525 UOL917525:UOQ917525 UYH917525:UYM917525 VID917525:VII917525 VRZ917525:VSE917525 WBV917525:WCA917525 WLR917525:WLW917525 WVN917525:WVS917525 F983061:K983061 JB983061:JG983061 SX983061:TC983061 ACT983061:ACY983061 AMP983061:AMU983061 AWL983061:AWQ983061 BGH983061:BGM983061 BQD983061:BQI983061 BZZ983061:CAE983061 CJV983061:CKA983061 CTR983061:CTW983061 DDN983061:DDS983061 DNJ983061:DNO983061 DXF983061:DXK983061 EHB983061:EHG983061 EQX983061:ERC983061 FAT983061:FAY983061 FKP983061:FKU983061 FUL983061:FUQ983061 GEH983061:GEM983061 GOD983061:GOI983061 GXZ983061:GYE983061 HHV983061:HIA983061 HRR983061:HRW983061 IBN983061:IBS983061 ILJ983061:ILO983061 IVF983061:IVK983061 JFB983061:JFG983061 JOX983061:JPC983061 JYT983061:JYY983061 KIP983061:KIU983061 KSL983061:KSQ983061 LCH983061:LCM983061 LMD983061:LMI983061 LVZ983061:LWE983061 MFV983061:MGA983061 MPR983061:MPW983061 MZN983061:MZS983061 NJJ983061:NJO983061 NTF983061:NTK983061 ODB983061:ODG983061 OMX983061:ONC983061 OWT983061:OWY983061 PGP983061:PGU983061 PQL983061:PQQ983061 QAH983061:QAM983061 QKD983061:QKI983061 QTZ983061:QUE983061 RDV983061:REA983061 RNR983061:RNW983061 RXN983061:RXS983061 SHJ983061:SHO983061 SRF983061:SRK983061 TBB983061:TBG983061 TKX983061:TLC983061 TUT983061:TUY983061 UEP983061:UEU983061 UOL983061:UOQ983061 UYH983061:UYM983061 VID983061:VII983061 VRZ983061:VSE983061 WBV983061:WCA983061 WLR983061:WLW983061 WVN983061:WVS983061 F983051:K983051 JB983051:JG983051 SX983051:TC983051 ACT983051:ACY983051 AMP983051:AMU983051 AWL983051:AWQ983051 BGH983051:BGM983051 BQD983051:BQI983051 BZZ983051:CAE983051 CJV983051:CKA983051 CTR983051:CTW983051 DDN983051:DDS983051 DNJ983051:DNO983051 DXF983051:DXK983051 EHB983051:EHG983051 EQX983051:ERC983051 FAT983051:FAY983051 FKP983051:FKU983051 FUL983051:FUQ983051 GEH983051:GEM983051 GOD983051:GOI983051 GXZ983051:GYE983051 HHV983051:HIA983051 HRR983051:HRW983051 IBN983051:IBS983051 ILJ983051:ILO983051 IVF983051:IVK983051 JFB983051:JFG983051 JOX983051:JPC983051 JYT983051:JYY983051 KIP983051:KIU983051 KSL983051:KSQ983051 LCH983051:LCM983051 LMD983051:LMI983051 LVZ983051:LWE983051 MFV983051:MGA983051 MPR983051:MPW983051 MZN983051:MZS983051 NJJ983051:NJO983051 NTF983051:NTK983051 ODB983051:ODG983051 OMX983051:ONC983051 OWT983051:OWY983051 PGP983051:PGU983051 PQL983051:PQQ983051 QAH983051:QAM983051 QKD983051:QKI983051 QTZ983051:QUE983051 RDV983051:REA983051 RNR983051:RNW983051 RXN983051:RXS983051 SHJ983051:SHO983051 SRF983051:SRK983051 TBB983051:TBG983051 TKX983051:TLC983051 TUT983051:TUY983051 UEP983051:UEU983051 UOL983051:UOQ983051 UYH983051:UYM983051 VID983051:VII983051 VRZ983051:VSE983051 WBV983051:WCA983051 WLR983051:WLW983051 WVN983051:WVS983051 F65547:K65547 JB65547:JG65547 SX65547:TC65547 ACT65547:ACY65547 AMP65547:AMU65547 AWL65547:AWQ65547 BGH65547:BGM65547 BQD65547:BQI65547 BZZ65547:CAE65547 CJV65547:CKA65547 CTR65547:CTW65547 DDN65547:DDS65547 DNJ65547:DNO65547 DXF65547:DXK65547 EHB65547:EHG65547 EQX65547:ERC65547 FAT65547:FAY65547 FKP65547:FKU65547 FUL65547:FUQ65547 GEH65547:GEM65547 GOD65547:GOI65547 GXZ65547:GYE65547 HHV65547:HIA65547 HRR65547:HRW65547 IBN65547:IBS65547 ILJ65547:ILO65547 IVF65547:IVK65547 JFB65547:JFG65547 JOX65547:JPC65547 JYT65547:JYY65547 KIP65547:KIU65547 KSL65547:KSQ65547 LCH65547:LCM65547 LMD65547:LMI65547 LVZ65547:LWE65547 MFV65547:MGA65547 MPR65547:MPW65547 MZN65547:MZS65547 NJJ65547:NJO65547 NTF65547:NTK65547 ODB65547:ODG65547 OMX65547:ONC65547 OWT65547:OWY65547 PGP65547:PGU65547 PQL65547:PQQ65547 QAH65547:QAM65547 QKD65547:QKI65547 QTZ65547:QUE65547 RDV65547:REA65547 RNR65547:RNW65547 RXN65547:RXS65547 SHJ65547:SHO65547 SRF65547:SRK65547 TBB65547:TBG65547 TKX65547:TLC65547 TUT65547:TUY65547 UEP65547:UEU65547 UOL65547:UOQ65547 UYH65547:UYM65547 VID65547:VII65547 VRZ65547:VSE65547 WBV65547:WCA65547 WLR65547:WLW65547 WVN65547:WVS65547 F131083:K131083 JB131083:JG131083 SX131083:TC131083 ACT131083:ACY131083 AMP131083:AMU131083 AWL131083:AWQ131083 BGH131083:BGM131083 BQD131083:BQI131083 BZZ131083:CAE131083 CJV131083:CKA131083 CTR131083:CTW131083 DDN131083:DDS131083 DNJ131083:DNO131083 DXF131083:DXK131083 EHB131083:EHG131083 EQX131083:ERC131083 FAT131083:FAY131083 FKP131083:FKU131083 FUL131083:FUQ131083 GEH131083:GEM131083 GOD131083:GOI131083 GXZ131083:GYE131083 HHV131083:HIA131083 HRR131083:HRW131083 IBN131083:IBS131083 ILJ131083:ILO131083 IVF131083:IVK131083 JFB131083:JFG131083 JOX131083:JPC131083 JYT131083:JYY131083 KIP131083:KIU131083 KSL131083:KSQ131083 LCH131083:LCM131083 LMD131083:LMI131083 LVZ131083:LWE131083 MFV131083:MGA131083 MPR131083:MPW131083 MZN131083:MZS131083 NJJ131083:NJO131083 NTF131083:NTK131083 ODB131083:ODG131083 OMX131083:ONC131083 OWT131083:OWY131083 PGP131083:PGU131083 PQL131083:PQQ131083 QAH131083:QAM131083 QKD131083:QKI131083 QTZ131083:QUE131083 RDV131083:REA131083 RNR131083:RNW131083 RXN131083:RXS131083 SHJ131083:SHO131083 SRF131083:SRK131083 TBB131083:TBG131083 TKX131083:TLC131083 TUT131083:TUY131083 UEP131083:UEU131083 UOL131083:UOQ131083 UYH131083:UYM131083 VID131083:VII131083 VRZ131083:VSE131083 WBV131083:WCA131083 WLR131083:WLW131083 WVN131083:WVS131083 F196619:K196619 JB196619:JG196619 SX196619:TC196619 ACT196619:ACY196619 AMP196619:AMU196619 AWL196619:AWQ196619 BGH196619:BGM196619 BQD196619:BQI196619 BZZ196619:CAE196619 CJV196619:CKA196619 CTR196619:CTW196619 DDN196619:DDS196619 DNJ196619:DNO196619 DXF196619:DXK196619 EHB196619:EHG196619 EQX196619:ERC196619 FAT196619:FAY196619 FKP196619:FKU196619 FUL196619:FUQ196619 GEH196619:GEM196619 GOD196619:GOI196619 GXZ196619:GYE196619 HHV196619:HIA196619 HRR196619:HRW196619 IBN196619:IBS196619 ILJ196619:ILO196619 IVF196619:IVK196619 JFB196619:JFG196619 JOX196619:JPC196619 JYT196619:JYY196619 KIP196619:KIU196619 KSL196619:KSQ196619 LCH196619:LCM196619 LMD196619:LMI196619 LVZ196619:LWE196619 MFV196619:MGA196619 MPR196619:MPW196619 MZN196619:MZS196619 NJJ196619:NJO196619 NTF196619:NTK196619 ODB196619:ODG196619 OMX196619:ONC196619 OWT196619:OWY196619 PGP196619:PGU196619 PQL196619:PQQ196619 QAH196619:QAM196619 QKD196619:QKI196619 QTZ196619:QUE196619 RDV196619:REA196619 RNR196619:RNW196619 RXN196619:RXS196619 SHJ196619:SHO196619 SRF196619:SRK196619 TBB196619:TBG196619 TKX196619:TLC196619 TUT196619:TUY196619 UEP196619:UEU196619 UOL196619:UOQ196619 UYH196619:UYM196619 VID196619:VII196619 VRZ196619:VSE196619 WBV196619:WCA196619 WLR196619:WLW196619 WVN196619:WVS196619 F262155:K262155 JB262155:JG262155 SX262155:TC262155 ACT262155:ACY262155 AMP262155:AMU262155 AWL262155:AWQ262155 BGH262155:BGM262155 BQD262155:BQI262155 BZZ262155:CAE262155 CJV262155:CKA262155 CTR262155:CTW262155 DDN262155:DDS262155 DNJ262155:DNO262155 DXF262155:DXK262155 EHB262155:EHG262155 EQX262155:ERC262155 FAT262155:FAY262155 FKP262155:FKU262155 FUL262155:FUQ262155 GEH262155:GEM262155 GOD262155:GOI262155 GXZ262155:GYE262155 HHV262155:HIA262155 HRR262155:HRW262155 IBN262155:IBS262155 ILJ262155:ILO262155 IVF262155:IVK262155 JFB262155:JFG262155 JOX262155:JPC262155 JYT262155:JYY262155 KIP262155:KIU262155 KSL262155:KSQ262155 LCH262155:LCM262155 LMD262155:LMI262155 LVZ262155:LWE262155 MFV262155:MGA262155 MPR262155:MPW262155 MZN262155:MZS262155 NJJ262155:NJO262155 NTF262155:NTK262155 ODB262155:ODG262155 OMX262155:ONC262155 OWT262155:OWY262155 PGP262155:PGU262155 PQL262155:PQQ262155 QAH262155:QAM262155 QKD262155:QKI262155 QTZ262155:QUE262155 RDV262155:REA262155 RNR262155:RNW262155 RXN262155:RXS262155 SHJ262155:SHO262155 SRF262155:SRK262155 TBB262155:TBG262155 TKX262155:TLC262155 TUT262155:TUY262155 UEP262155:UEU262155 UOL262155:UOQ262155 UYH262155:UYM262155 VID262155:VII262155 VRZ262155:VSE262155 WBV262155:WCA262155 WLR262155:WLW262155 WVN262155:WVS262155 F327691:K327691 JB327691:JG327691 SX327691:TC327691 ACT327691:ACY327691 AMP327691:AMU327691 AWL327691:AWQ327691 BGH327691:BGM327691 BQD327691:BQI327691 BZZ327691:CAE327691 CJV327691:CKA327691 CTR327691:CTW327691 DDN327691:DDS327691 DNJ327691:DNO327691 DXF327691:DXK327691 EHB327691:EHG327691 EQX327691:ERC327691 FAT327691:FAY327691 FKP327691:FKU327691 FUL327691:FUQ327691 GEH327691:GEM327691 GOD327691:GOI327691 GXZ327691:GYE327691 HHV327691:HIA327691 HRR327691:HRW327691 IBN327691:IBS327691 ILJ327691:ILO327691 IVF327691:IVK327691 JFB327691:JFG327691 JOX327691:JPC327691 JYT327691:JYY327691 KIP327691:KIU327691 KSL327691:KSQ327691 LCH327691:LCM327691 LMD327691:LMI327691 LVZ327691:LWE327691 MFV327691:MGA327691 MPR327691:MPW327691 MZN327691:MZS327691 NJJ327691:NJO327691 NTF327691:NTK327691 ODB327691:ODG327691 OMX327691:ONC327691 OWT327691:OWY327691 PGP327691:PGU327691 PQL327691:PQQ327691 QAH327691:QAM327691 QKD327691:QKI327691 QTZ327691:QUE327691 RDV327691:REA327691 RNR327691:RNW327691 RXN327691:RXS327691 SHJ327691:SHO327691 SRF327691:SRK327691 TBB327691:TBG327691 TKX327691:TLC327691 TUT327691:TUY327691 UEP327691:UEU327691 UOL327691:UOQ327691 UYH327691:UYM327691 VID327691:VII327691 VRZ327691:VSE327691 WBV327691:WCA327691 WLR327691:WLW327691 WVN327691:WVS327691 F393227:K393227 JB393227:JG393227 SX393227:TC393227 ACT393227:ACY393227 AMP393227:AMU393227 AWL393227:AWQ393227 BGH393227:BGM393227 BQD393227:BQI393227 BZZ393227:CAE393227 CJV393227:CKA393227 CTR393227:CTW393227 DDN393227:DDS393227 DNJ393227:DNO393227 DXF393227:DXK393227 EHB393227:EHG393227 EQX393227:ERC393227 FAT393227:FAY393227 FKP393227:FKU393227 FUL393227:FUQ393227 GEH393227:GEM393227 GOD393227:GOI393227 GXZ393227:GYE393227 HHV393227:HIA393227 HRR393227:HRW393227 IBN393227:IBS393227 ILJ393227:ILO393227 IVF393227:IVK393227 JFB393227:JFG393227 JOX393227:JPC393227 JYT393227:JYY393227 KIP393227:KIU393227 KSL393227:KSQ393227 LCH393227:LCM393227 LMD393227:LMI393227 LVZ393227:LWE393227 MFV393227:MGA393227 MPR393227:MPW393227 MZN393227:MZS393227 NJJ393227:NJO393227 NTF393227:NTK393227 ODB393227:ODG393227 OMX393227:ONC393227 OWT393227:OWY393227 PGP393227:PGU393227 PQL393227:PQQ393227 QAH393227:QAM393227 QKD393227:QKI393227 QTZ393227:QUE393227 RDV393227:REA393227 RNR393227:RNW393227 RXN393227:RXS393227 SHJ393227:SHO393227 SRF393227:SRK393227 TBB393227:TBG393227 TKX393227:TLC393227 TUT393227:TUY393227 UEP393227:UEU393227 UOL393227:UOQ393227 UYH393227:UYM393227 VID393227:VII393227 VRZ393227:VSE393227 WBV393227:WCA393227 WLR393227:WLW393227 WVN393227:WVS393227 F458763:K458763 JB458763:JG458763 SX458763:TC458763 ACT458763:ACY458763 AMP458763:AMU458763 AWL458763:AWQ458763 BGH458763:BGM458763 BQD458763:BQI458763 BZZ458763:CAE458763 CJV458763:CKA458763 CTR458763:CTW458763 DDN458763:DDS458763 DNJ458763:DNO458763 DXF458763:DXK458763 EHB458763:EHG458763 EQX458763:ERC458763 FAT458763:FAY458763 FKP458763:FKU458763 FUL458763:FUQ458763 GEH458763:GEM458763 GOD458763:GOI458763 GXZ458763:GYE458763 HHV458763:HIA458763 HRR458763:HRW458763 IBN458763:IBS458763 ILJ458763:ILO458763 IVF458763:IVK458763 JFB458763:JFG458763 JOX458763:JPC458763 JYT458763:JYY458763 KIP458763:KIU458763 KSL458763:KSQ458763 LCH458763:LCM458763 LMD458763:LMI458763 LVZ458763:LWE458763 MFV458763:MGA458763 MPR458763:MPW458763 MZN458763:MZS458763 NJJ458763:NJO458763 NTF458763:NTK458763 ODB458763:ODG458763 OMX458763:ONC458763 OWT458763:OWY458763 PGP458763:PGU458763 PQL458763:PQQ458763 QAH458763:QAM458763 QKD458763:QKI458763 QTZ458763:QUE458763 RDV458763:REA458763 RNR458763:RNW458763 RXN458763:RXS458763 SHJ458763:SHO458763 SRF458763:SRK458763 TBB458763:TBG458763 TKX458763:TLC458763 TUT458763:TUY458763 UEP458763:UEU458763 UOL458763:UOQ458763 UYH458763:UYM458763 VID458763:VII458763 VRZ458763:VSE458763 WBV458763:WCA458763 WLR458763:WLW458763 WVN458763:WVS458763 F524299:K524299 JB524299:JG524299 SX524299:TC524299 ACT524299:ACY524299 AMP524299:AMU524299 AWL524299:AWQ524299 BGH524299:BGM524299 BQD524299:BQI524299 BZZ524299:CAE524299 CJV524299:CKA524299 CTR524299:CTW524299 DDN524299:DDS524299 DNJ524299:DNO524299 DXF524299:DXK524299 EHB524299:EHG524299 EQX524299:ERC524299 FAT524299:FAY524299 FKP524299:FKU524299 FUL524299:FUQ524299 GEH524299:GEM524299 GOD524299:GOI524299 GXZ524299:GYE524299 HHV524299:HIA524299 HRR524299:HRW524299 IBN524299:IBS524299 ILJ524299:ILO524299 IVF524299:IVK524299 JFB524299:JFG524299 JOX524299:JPC524299 JYT524299:JYY524299 KIP524299:KIU524299 KSL524299:KSQ524299 LCH524299:LCM524299 LMD524299:LMI524299 LVZ524299:LWE524299 MFV524299:MGA524299 MPR524299:MPW524299 MZN524299:MZS524299 NJJ524299:NJO524299 NTF524299:NTK524299 ODB524299:ODG524299 OMX524299:ONC524299 OWT524299:OWY524299 PGP524299:PGU524299 PQL524299:PQQ524299 QAH524299:QAM524299 QKD524299:QKI524299 QTZ524299:QUE524299 RDV524299:REA524299 RNR524299:RNW524299 RXN524299:RXS524299 SHJ524299:SHO524299 SRF524299:SRK524299 TBB524299:TBG524299 TKX524299:TLC524299 TUT524299:TUY524299 UEP524299:UEU524299 UOL524299:UOQ524299 UYH524299:UYM524299 VID524299:VII524299 VRZ524299:VSE524299 WBV524299:WCA524299 WLR524299:WLW524299 WVN524299:WVS524299 F589835:K589835 JB589835:JG589835 SX589835:TC589835 ACT589835:ACY589835 AMP589835:AMU589835 AWL589835:AWQ589835 BGH589835:BGM589835 BQD589835:BQI589835 BZZ589835:CAE589835 CJV589835:CKA589835 CTR589835:CTW589835 DDN589835:DDS589835 DNJ589835:DNO589835 DXF589835:DXK589835 EHB589835:EHG589835 EQX589835:ERC589835 FAT589835:FAY589835 FKP589835:FKU589835 FUL589835:FUQ589835 GEH589835:GEM589835 GOD589835:GOI589835 GXZ589835:GYE589835 HHV589835:HIA589835 HRR589835:HRW589835 IBN589835:IBS589835 ILJ589835:ILO589835 IVF589835:IVK589835 JFB589835:JFG589835 JOX589835:JPC589835 JYT589835:JYY589835 KIP589835:KIU589835 KSL589835:KSQ589835 LCH589835:LCM589835 LMD589835:LMI589835 LVZ589835:LWE589835 MFV589835:MGA589835 MPR589835:MPW589835 MZN589835:MZS589835 NJJ589835:NJO589835 NTF589835:NTK589835 ODB589835:ODG589835 OMX589835:ONC589835 OWT589835:OWY589835 PGP589835:PGU589835 PQL589835:PQQ589835 QAH589835:QAM589835 QKD589835:QKI589835 QTZ589835:QUE589835 RDV589835:REA589835 RNR589835:RNW589835 RXN589835:RXS589835 SHJ589835:SHO589835 SRF589835:SRK589835 TBB589835:TBG589835 TKX589835:TLC589835 TUT589835:TUY589835 UEP589835:UEU589835 UOL589835:UOQ589835 UYH589835:UYM589835 VID589835:VII589835 VRZ589835:VSE589835 WBV589835:WCA589835 WLR589835:WLW589835 WVN589835:WVS589835 F655371:K655371 JB655371:JG655371 SX655371:TC655371 ACT655371:ACY655371 AMP655371:AMU655371 AWL655371:AWQ655371 BGH655371:BGM655371 BQD655371:BQI655371 BZZ655371:CAE655371 CJV655371:CKA655371 CTR655371:CTW655371 DDN655371:DDS655371 DNJ655371:DNO655371 DXF655371:DXK655371 EHB655371:EHG655371 EQX655371:ERC655371 FAT655371:FAY655371 FKP655371:FKU655371 FUL655371:FUQ655371 GEH655371:GEM655371 GOD655371:GOI655371 GXZ655371:GYE655371 HHV655371:HIA655371 HRR655371:HRW655371 IBN655371:IBS655371 ILJ655371:ILO655371 IVF655371:IVK655371 JFB655371:JFG655371 JOX655371:JPC655371 JYT655371:JYY655371 KIP655371:KIU655371 KSL655371:KSQ655371 LCH655371:LCM655371 LMD655371:LMI655371 LVZ655371:LWE655371 MFV655371:MGA655371 MPR655371:MPW655371 MZN655371:MZS655371 NJJ655371:NJO655371 NTF655371:NTK655371 ODB655371:ODG655371 OMX655371:ONC655371 OWT655371:OWY655371 PGP655371:PGU655371 PQL655371:PQQ655371 QAH655371:QAM655371 QKD655371:QKI655371 QTZ655371:QUE655371 RDV655371:REA655371 RNR655371:RNW655371 RXN655371:RXS655371 SHJ655371:SHO655371 SRF655371:SRK655371 TBB655371:TBG655371 TKX655371:TLC655371 TUT655371:TUY655371 UEP655371:UEU655371 UOL655371:UOQ655371 UYH655371:UYM655371 VID655371:VII655371 VRZ655371:VSE655371 WBV655371:WCA655371 WLR655371:WLW655371 WVN655371:WVS655371 F720907:K720907 JB720907:JG720907 SX720907:TC720907 ACT720907:ACY720907 AMP720907:AMU720907 AWL720907:AWQ720907 BGH720907:BGM720907 BQD720907:BQI720907 BZZ720907:CAE720907 CJV720907:CKA720907 CTR720907:CTW720907 DDN720907:DDS720907 DNJ720907:DNO720907 DXF720907:DXK720907 EHB720907:EHG720907 EQX720907:ERC720907 FAT720907:FAY720907 FKP720907:FKU720907 FUL720907:FUQ720907 GEH720907:GEM720907 GOD720907:GOI720907 GXZ720907:GYE720907 HHV720907:HIA720907 HRR720907:HRW720907 IBN720907:IBS720907 ILJ720907:ILO720907 IVF720907:IVK720907 JFB720907:JFG720907 JOX720907:JPC720907 JYT720907:JYY720907 KIP720907:KIU720907 KSL720907:KSQ720907 LCH720907:LCM720907 LMD720907:LMI720907 LVZ720907:LWE720907 MFV720907:MGA720907 MPR720907:MPW720907 MZN720907:MZS720907 NJJ720907:NJO720907 NTF720907:NTK720907 ODB720907:ODG720907 OMX720907:ONC720907 OWT720907:OWY720907 PGP720907:PGU720907 PQL720907:PQQ720907 QAH720907:QAM720907 QKD720907:QKI720907 QTZ720907:QUE720907 RDV720907:REA720907 RNR720907:RNW720907 RXN720907:RXS720907 SHJ720907:SHO720907 SRF720907:SRK720907 TBB720907:TBG720907 TKX720907:TLC720907 TUT720907:TUY720907 UEP720907:UEU720907 UOL720907:UOQ720907 UYH720907:UYM720907 VID720907:VII720907 VRZ720907:VSE720907 WBV720907:WCA720907 WLR720907:WLW720907 WVN720907:WVS720907 M9:R9 JI9:JN9 TE9:TJ9 ADA9:ADF9 AMW9:ANB9 AWS9:AWX9 BGO9:BGT9 BQK9:BQP9 CAG9:CAL9 CKC9:CKH9 CTY9:CUD9 DDU9:DDZ9 DNQ9:DNV9 DXM9:DXR9 EHI9:EHN9 ERE9:ERJ9 FBA9:FBF9 FKW9:FLB9 FUS9:FUX9 GEO9:GET9 GOK9:GOP9 GYG9:GYL9 HIC9:HIH9 HRY9:HSD9 IBU9:IBZ9 ILQ9:ILV9 IVM9:IVR9 JFI9:JFN9 JPE9:JPJ9 JZA9:JZF9 KIW9:KJB9 KSS9:KSX9 LCO9:LCT9 LMK9:LMP9 LWG9:LWL9 MGC9:MGH9 MPY9:MQD9 MZU9:MZZ9 NJQ9:NJV9 NTM9:NTR9 ODI9:ODN9 ONE9:ONJ9 OXA9:OXF9 PGW9:PHB9 PQS9:PQX9 QAO9:QAT9 QKK9:QKP9 QUG9:QUL9 REC9:REH9 RNY9:ROD9 RXU9:RXZ9 SHQ9:SHV9 SRM9:SRR9 TBI9:TBN9 TLE9:TLJ9 TVA9:TVF9 UEW9:UFB9 UOS9:UOX9 UYO9:UYT9 VIK9:VIP9 VSG9:VSL9 WCC9:WCH9 WLY9:WMD9 WVU9:WVZ9 F9:K9 JB9:JG9 SX9:TC9 ACT9:ACY9 AMP9:AMU9 AWL9:AWQ9 BGH9:BGM9 BQD9:BQI9 BZZ9:CAE9 CJV9:CKA9 CTR9:CTW9 DDN9:DDS9 DNJ9:DNO9 DXF9:DXK9 EHB9:EHG9 EQX9:ERC9 FAT9:FAY9 FKP9:FKU9 FUL9:FUQ9 GEH9:GEM9 GOD9:GOI9 GXZ9:GYE9 HHV9:HIA9 HRR9:HRW9 IBN9:IBS9 ILJ9:ILO9 IVF9:IVK9 JFB9:JFG9 JOX9:JPC9 JYT9:JYY9 KIP9:KIU9 KSL9:KSQ9 LCH9:LCM9 LMD9:LMI9 LVZ9:LWE9 MFV9:MGA9 MPR9:MPW9 MZN9:MZS9 NJJ9:NJO9 NTF9:NTK9 ODB9:ODG9 OMX9:ONC9 OWT9:OWY9 PGP9:PGU9 PQL9:PQQ9 QAH9:QAM9 QKD9:QKI9 QTZ9:QUE9 RDV9:REA9 RNR9:RNW9 RXN9:RXS9 SHJ9:SHO9 SRF9:SRK9 TBB9:TBG9 TKX9:TLC9 TUT9:TUY9 UEP9:UEU9 UOL9:UOQ9 UYH9:UYM9 VID9:VII9 VRZ9:VSE9 WBV9:WCA9 WLR9:WLW9 WVN9:WVS9 F19:K19 JB19:JG19 SX19:TC19 ACT19:ACY19 AMP19:AMU19 AWL19:AWQ19 BGH19:BGM19 BQD19:BQI19 BZZ19:CAE19 CJV19:CKA19 CTR19:CTW19 DDN19:DDS19 DNJ19:DNO19 DXF19:DXK19 EHB19:EHG19 EQX19:ERC19 FAT19:FAY19 FKP19:FKU19 FUL19:FUQ19 GEH19:GEM19 GOD19:GOI19 GXZ19:GYE19 HHV19:HIA19 HRR19:HRW19 IBN19:IBS19 ILJ19:ILO19 IVF19:IVK19 JFB19:JFG19 JOX19:JPC19 JYT19:JYY19 KIP19:KIU19 KSL19:KSQ19 LCH19:LCM19 LMD19:LMI19 LVZ19:LWE19 MFV19:MGA19 MPR19:MPW19 MZN19:MZS19 NJJ19:NJO19 NTF19:NTK19 ODB19:ODG19 OMX19:ONC19 OWT19:OWY19 PGP19:PGU19 PQL19:PQQ19 QAH19:QAM19 QKD19:QKI19 QTZ19:QUE19 RDV19:REA19 RNR19:RNW19 RXN19:RXS19 SHJ19:SHO19 SRF19:SRK19 TBB19:TBG19 TKX19:TLC19 TUT19:TUY19 UEP19:UEU19 UOL19:UOQ19 UYH19:UYM19 VID19:VII19 VRZ19:VSE19 WBV19:WCA19 WLR19:WLW19 WVN19:WVS19 M19:R19 JI19:JN19 TE19:TJ19 ADA19:ADF19 AMW19:ANB19 AWS19:AWX19 BGO19:BGT19 BQK19:BQP19 CAG19:CAL19 CKC19:CKH19 CTY19:CUD19 DDU19:DDZ19 DNQ19:DNV19 DXM19:DXR19 EHI19:EHN19 ERE19:ERJ19 FBA19:FBF19 FKW19:FLB19 FUS19:FUX19 GEO19:GET19 GOK19:GOP19 GYG19:GYL19 HIC19:HIH19 HRY19:HSD19 IBU19:IBZ19 ILQ19:ILV19 IVM19:IVR19 JFI19:JFN19 JPE19:JPJ19 JZA19:JZF19 KIW19:KJB19 KSS19:KSX19 LCO19:LCT19 LMK19:LMP19 LWG19:LWL19 MGC19:MGH19 MPY19:MQD19 MZU19:MZZ19 NJQ19:NJV19 NTM19:NTR19 ODI19:ODN19 ONE19:ONJ19 OXA19:OXF19 PGW19:PHB19 PQS19:PQX19 QAO19:QAT19 QKK19:QKP19 QUG19:QUL19 REC19:REH19 RNY19:ROD19 RXU19:RXZ19 SHQ19:SHV19 SRM19:SRR19 TBI19:TBN19 TLE19:TLJ19 TVA19:TVF19 UEW19:UFB19 UOS19:UOX19 UYO19:UYT19 VIK19:VIP19 VSG19:VSL19 WCC19:WCH19 WLY19:WMD19 WVU19:WVZ19">
      <formula1>0</formula1>
      <formula2>1000000000000000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H21"/>
  <sheetViews>
    <sheetView workbookViewId="0">
      <selection activeCell="E13" sqref="E13"/>
    </sheetView>
  </sheetViews>
  <sheetFormatPr defaultRowHeight="12.75"/>
  <cols>
    <col min="1" max="1" width="10.5703125" customWidth="1"/>
    <col min="2" max="2" width="43.85546875" customWidth="1"/>
    <col min="3" max="3" width="19" customWidth="1"/>
    <col min="4" max="4" width="17" customWidth="1"/>
    <col min="5" max="6" width="22" customWidth="1"/>
  </cols>
  <sheetData>
    <row r="1" spans="1:8" ht="18.75" customHeight="1">
      <c r="B1" s="449" t="s">
        <v>925</v>
      </c>
      <c r="C1" s="449"/>
      <c r="D1" s="449"/>
      <c r="E1" s="449"/>
      <c r="F1" s="450"/>
      <c r="G1" s="450"/>
    </row>
    <row r="3" spans="1:8" s="1" customFormat="1">
      <c r="A3" s="1817" t="s">
        <v>268</v>
      </c>
      <c r="B3" s="1815" t="s">
        <v>245</v>
      </c>
      <c r="C3" s="1069">
        <v>2020</v>
      </c>
      <c r="D3" s="339">
        <v>2021</v>
      </c>
      <c r="E3" s="1816">
        <v>2022</v>
      </c>
      <c r="F3" s="1816"/>
    </row>
    <row r="4" spans="1:8" s="1" customFormat="1">
      <c r="A4" s="1818"/>
      <c r="B4" s="1815"/>
      <c r="C4" s="318" t="s">
        <v>514</v>
      </c>
      <c r="D4" s="318" t="s">
        <v>515</v>
      </c>
      <c r="E4" s="318" t="s">
        <v>516</v>
      </c>
      <c r="F4" s="318" t="s">
        <v>517</v>
      </c>
    </row>
    <row r="5" spans="1:8" s="1" customFormat="1">
      <c r="B5" s="319">
        <v>1</v>
      </c>
      <c r="C5" s="320">
        <v>3</v>
      </c>
      <c r="D5" s="320">
        <v>4</v>
      </c>
      <c r="E5" s="320">
        <v>5</v>
      </c>
      <c r="F5" s="320">
        <v>6</v>
      </c>
    </row>
    <row r="6" spans="1:8" s="1" customFormat="1" ht="31.5">
      <c r="A6" s="745" t="s">
        <v>53</v>
      </c>
      <c r="B6" s="926" t="s">
        <v>54</v>
      </c>
      <c r="C6" s="746">
        <f>'Свод долгосрочный '!F25</f>
        <v>0</v>
      </c>
      <c r="D6" s="933">
        <f>SUM(D7:D14)</f>
        <v>0</v>
      </c>
      <c r="E6" s="933">
        <f>SUM(E7:E13)</f>
        <v>15169.503057033602</v>
      </c>
      <c r="F6" s="746">
        <f>SUM(F7:F15)</f>
        <v>0</v>
      </c>
      <c r="H6" s="1054"/>
    </row>
    <row r="7" spans="1:8" s="1" customFormat="1" ht="15.75">
      <c r="A7" s="508"/>
      <c r="C7" s="929"/>
      <c r="D7" s="930"/>
      <c r="E7" s="934"/>
      <c r="F7" s="930"/>
      <c r="G7" s="750"/>
    </row>
    <row r="8" spans="1:8" s="1" customFormat="1" ht="15.75">
      <c r="A8" s="508"/>
      <c r="B8" s="927" t="str">
        <f>'Затраты на ремонт'!A5</f>
        <v>1. Ремонт воздушных линий ВЛ-6-10кВ</v>
      </c>
      <c r="C8" s="931"/>
      <c r="D8" s="935"/>
      <c r="E8" s="936">
        <f>'Затраты на ремонт'!H6/1000</f>
        <v>1933.7311355232</v>
      </c>
      <c r="F8" s="935"/>
      <c r="G8" s="751"/>
    </row>
    <row r="9" spans="1:8" s="1" customFormat="1" ht="15.75">
      <c r="A9" s="508"/>
      <c r="B9" s="927" t="str">
        <f>'Затраты на ремонт'!A34</f>
        <v>2.Ремонт воздушных линий ВЛ-0,4кВ</v>
      </c>
      <c r="C9" s="931"/>
      <c r="D9" s="935"/>
      <c r="E9" s="936">
        <f>'Затраты на ремонт'!H35/1000</f>
        <v>2455.6984444512004</v>
      </c>
      <c r="F9" s="935"/>
    </row>
    <row r="10" spans="1:8" s="1" customFormat="1" ht="15.75">
      <c r="A10" s="508"/>
      <c r="B10" s="928" t="str">
        <f>'Затраты на ремонт'!A79</f>
        <v>3.Ремонт кабельных линий 6-10кВ</v>
      </c>
      <c r="C10" s="931"/>
      <c r="D10" s="935"/>
      <c r="E10" s="936">
        <f>'Затраты на ремонт'!H80/1000</f>
        <v>118.62181718400001</v>
      </c>
      <c r="F10" s="935"/>
    </row>
    <row r="11" spans="1:8" s="1" customFormat="1" ht="15.75">
      <c r="A11" s="508"/>
      <c r="B11" s="928" t="str">
        <f>'Затраты на ремонт'!A93</f>
        <v>4.Ремонт кабельных линий 0,4кВ</v>
      </c>
      <c r="C11" s="931"/>
      <c r="D11" s="935"/>
      <c r="E11" s="936">
        <f>'Затраты на ремонт'!H94/1000</f>
        <v>209.67860759039999</v>
      </c>
      <c r="F11" s="935"/>
    </row>
    <row r="12" spans="1:8" ht="15.75">
      <c r="A12" s="919"/>
      <c r="B12" s="928" t="str">
        <f>'Затраты на ремонт'!A113</f>
        <v>5.Ремонт трансформаторных подстанций</v>
      </c>
      <c r="C12" s="932"/>
      <c r="D12" s="1081"/>
      <c r="E12" s="1011">
        <f>'Затраты на ремонт'!H114/1000</f>
        <v>2859.2416882848006</v>
      </c>
      <c r="F12" s="932"/>
    </row>
    <row r="13" spans="1:8" s="1120" customFormat="1" ht="15.75">
      <c r="A13" s="1119"/>
      <c r="B13" s="928" t="s">
        <v>1367</v>
      </c>
      <c r="C13" s="932"/>
      <c r="D13" s="1081"/>
      <c r="E13" s="1011">
        <f>('Затраты на ремонт'!H143+'Затраты на ремонт'!H144+'Затраты на ремонт'!H145)/1000</f>
        <v>7592.5313639999995</v>
      </c>
      <c r="F13" s="932"/>
    </row>
    <row r="14" spans="1:8" ht="15.75">
      <c r="A14" s="919"/>
      <c r="B14" s="761" t="s">
        <v>1366</v>
      </c>
      <c r="C14" s="932"/>
      <c r="D14" s="1081"/>
      <c r="E14" s="1011">
        <f>ГСМ!I47</f>
        <v>2485.2453635432998</v>
      </c>
      <c r="F14" s="1055"/>
      <c r="G14" s="982"/>
    </row>
    <row r="15" spans="1:8" ht="15.75">
      <c r="A15" s="919"/>
      <c r="B15" s="761"/>
      <c r="C15" s="932"/>
      <c r="D15" s="1081"/>
      <c r="E15" s="932"/>
      <c r="F15" s="932"/>
    </row>
    <row r="16" spans="1:8" ht="15.75">
      <c r="B16" s="21"/>
      <c r="C16" s="21"/>
      <c r="D16" s="21"/>
      <c r="E16" s="21"/>
      <c r="F16" s="21"/>
    </row>
    <row r="17" spans="5:5">
      <c r="E17" s="982"/>
    </row>
    <row r="18" spans="5:5" s="939" customFormat="1">
      <c r="E18" s="982"/>
    </row>
    <row r="19" spans="5:5" s="939" customFormat="1"/>
    <row r="20" spans="5:5" s="939" customFormat="1"/>
    <row r="21" spans="5:5" s="939" customFormat="1"/>
  </sheetData>
  <mergeCells count="3">
    <mergeCell ref="B3:B4"/>
    <mergeCell ref="E3:F3"/>
    <mergeCell ref="A3:A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selection activeCell="E8" sqref="E8"/>
    </sheetView>
  </sheetViews>
  <sheetFormatPr defaultRowHeight="12.75"/>
  <cols>
    <col min="2" max="2" width="27" customWidth="1"/>
    <col min="4" max="6" width="12.85546875" customWidth="1"/>
  </cols>
  <sheetData>
    <row r="1" spans="1:7" ht="15.75">
      <c r="A1" s="449" t="s">
        <v>924</v>
      </c>
      <c r="G1">
        <v>17</v>
      </c>
    </row>
    <row r="3" spans="1:7">
      <c r="A3" s="1817" t="s">
        <v>268</v>
      </c>
      <c r="B3" s="1815" t="s">
        <v>245</v>
      </c>
      <c r="C3" s="339">
        <v>2020</v>
      </c>
      <c r="D3" s="339">
        <v>2021</v>
      </c>
      <c r="E3" s="1816">
        <v>2022</v>
      </c>
      <c r="F3" s="1816"/>
      <c r="G3" s="22"/>
    </row>
    <row r="4" spans="1:7" ht="25.5">
      <c r="A4" s="1818"/>
      <c r="B4" s="1815"/>
      <c r="C4" s="318" t="s">
        <v>514</v>
      </c>
      <c r="D4" s="318" t="s">
        <v>515</v>
      </c>
      <c r="E4" s="318" t="s">
        <v>516</v>
      </c>
      <c r="F4" s="318" t="s">
        <v>517</v>
      </c>
      <c r="G4" s="22"/>
    </row>
    <row r="5" spans="1:7">
      <c r="A5" s="1"/>
      <c r="B5" s="319">
        <v>1</v>
      </c>
      <c r="C5" s="320">
        <v>3</v>
      </c>
      <c r="D5" s="320">
        <v>4</v>
      </c>
      <c r="E5" s="320">
        <v>5</v>
      </c>
      <c r="F5" s="320">
        <v>6</v>
      </c>
      <c r="G5" s="22"/>
    </row>
    <row r="6" spans="1:7" ht="25.5">
      <c r="A6" s="745" t="s">
        <v>55</v>
      </c>
      <c r="B6" s="530" t="s">
        <v>805</v>
      </c>
      <c r="C6" s="678">
        <f>SUM(C7:C21)</f>
        <v>0</v>
      </c>
      <c r="D6" s="949">
        <f>SUM(D7:D21)</f>
        <v>455.76113999999995</v>
      </c>
      <c r="E6" s="949">
        <f>SUM(E7:E21)</f>
        <v>442.62299999999999</v>
      </c>
      <c r="F6" s="678">
        <f>SUM(F7:F21)</f>
        <v>0</v>
      </c>
      <c r="G6" s="276"/>
    </row>
    <row r="7" spans="1:7" ht="25.5">
      <c r="A7" s="508"/>
      <c r="B7" s="948" t="s">
        <v>1206</v>
      </c>
      <c r="C7" s="542"/>
      <c r="D7" s="727">
        <f>302.66*0+7.38+3.6+6.33+14.28+14.28+23.795+99.83+72.728+90.11697+90.28317</f>
        <v>422.62313999999998</v>
      </c>
      <c r="E7" s="772">
        <v>422.62299999999999</v>
      </c>
      <c r="F7" s="772">
        <v>0</v>
      </c>
      <c r="G7" s="22"/>
    </row>
    <row r="8" spans="1:7">
      <c r="A8" s="508"/>
      <c r="B8" s="199" t="s">
        <v>71</v>
      </c>
      <c r="C8" s="542"/>
      <c r="D8" s="727">
        <v>33.137999999999998</v>
      </c>
      <c r="E8" s="727">
        <f>20</f>
        <v>20</v>
      </c>
      <c r="F8" s="772">
        <v>0</v>
      </c>
      <c r="G8" s="22"/>
    </row>
    <row r="9" spans="1:7">
      <c r="A9" s="508"/>
      <c r="B9" s="679"/>
      <c r="C9" s="542"/>
      <c r="D9" s="694"/>
      <c r="E9" s="542"/>
      <c r="F9" s="770"/>
      <c r="G9" s="22"/>
    </row>
    <row r="10" spans="1:7">
      <c r="A10" s="508"/>
      <c r="B10" s="679"/>
      <c r="C10" s="542"/>
      <c r="D10" s="542"/>
      <c r="E10" s="542"/>
      <c r="F10" s="772"/>
      <c r="G10" s="22"/>
    </row>
    <row r="11" spans="1:7">
      <c r="A11" s="508"/>
      <c r="B11" s="679"/>
      <c r="C11" s="542"/>
      <c r="D11" s="542"/>
      <c r="E11" s="542"/>
      <c r="F11" s="772"/>
      <c r="G11" s="22"/>
    </row>
    <row r="12" spans="1:7">
      <c r="A12" s="508"/>
      <c r="B12" s="679"/>
      <c r="C12" s="542"/>
      <c r="D12" s="542"/>
      <c r="E12" s="542"/>
      <c r="F12" s="542"/>
      <c r="G12" s="22"/>
    </row>
    <row r="13" spans="1:7">
      <c r="A13" s="508"/>
      <c r="B13" s="679"/>
      <c r="C13" s="542"/>
      <c r="D13" s="542"/>
      <c r="E13" s="542"/>
      <c r="F13" s="772"/>
      <c r="G13" s="22"/>
    </row>
    <row r="14" spans="1:7">
      <c r="A14" s="508"/>
      <c r="B14" s="679"/>
      <c r="C14" s="542"/>
      <c r="D14" s="542"/>
      <c r="E14" s="542"/>
      <c r="F14" s="772"/>
      <c r="G14" s="22"/>
    </row>
    <row r="15" spans="1:7">
      <c r="A15" s="508"/>
      <c r="B15" s="679"/>
      <c r="C15" s="542"/>
      <c r="D15" s="542"/>
      <c r="E15" s="542"/>
      <c r="F15" s="771"/>
      <c r="G15" s="22"/>
    </row>
    <row r="16" spans="1:7">
      <c r="A16" s="508"/>
      <c r="B16" s="679"/>
      <c r="C16" s="542"/>
      <c r="D16" s="542"/>
      <c r="E16" s="542"/>
      <c r="F16" s="771"/>
      <c r="G16" s="22"/>
    </row>
    <row r="17" spans="1:7">
      <c r="A17" s="508"/>
      <c r="B17" s="680"/>
      <c r="C17" s="542"/>
      <c r="D17" s="542"/>
      <c r="E17" s="542"/>
      <c r="F17" s="772"/>
      <c r="G17" s="22"/>
    </row>
    <row r="18" spans="1:7">
      <c r="A18" s="508"/>
      <c r="B18" s="679"/>
      <c r="C18" s="542"/>
      <c r="D18" s="542"/>
      <c r="E18" s="542"/>
      <c r="F18" s="772"/>
      <c r="G18" s="22"/>
    </row>
    <row r="19" spans="1:7">
      <c r="A19" s="508"/>
      <c r="B19" s="679"/>
      <c r="C19" s="542"/>
      <c r="D19" s="542"/>
      <c r="E19" s="542"/>
      <c r="F19" s="542"/>
      <c r="G19" s="22"/>
    </row>
    <row r="20" spans="1:7">
      <c r="A20" s="508"/>
      <c r="B20" s="679"/>
      <c r="C20" s="542"/>
      <c r="D20" s="542"/>
      <c r="E20" s="542"/>
      <c r="F20" s="542"/>
      <c r="G20" s="22"/>
    </row>
    <row r="21" spans="1:7">
      <c r="A21" s="508"/>
      <c r="B21" s="681"/>
      <c r="C21" s="542"/>
      <c r="D21" s="542"/>
      <c r="E21" s="542"/>
      <c r="F21" s="542"/>
      <c r="G21" s="22"/>
    </row>
  </sheetData>
  <protectedRanges>
    <protectedRange sqref="E8:E21 C7:C21" name="Диапазон1_2_1"/>
    <protectedRange sqref="B17" name="Диапазон1_1_3_1"/>
  </protectedRanges>
  <mergeCells count="3">
    <mergeCell ref="A3:A4"/>
    <mergeCell ref="B3:B4"/>
    <mergeCell ref="E3:F3"/>
  </mergeCells>
  <pageMargins left="0.70866141732283472" right="0" top="0.35433070866141736" bottom="0.74803149606299213" header="0" footer="0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8">
    <tabColor indexed="45"/>
    <pageSetUpPr fitToPage="1"/>
  </sheetPr>
  <dimension ref="A1:N153"/>
  <sheetViews>
    <sheetView workbookViewId="0">
      <selection activeCell="H143" sqref="H143"/>
    </sheetView>
  </sheetViews>
  <sheetFormatPr defaultColWidth="4.7109375" defaultRowHeight="12.75"/>
  <cols>
    <col min="1" max="1" width="4.42578125" style="5" customWidth="1"/>
    <col min="2" max="2" width="18.140625" style="5" customWidth="1"/>
    <col min="3" max="3" width="78.5703125" style="5" customWidth="1"/>
    <col min="4" max="4" width="8.7109375" style="5" customWidth="1"/>
    <col min="5" max="5" width="10" style="5" customWidth="1"/>
    <col min="6" max="6" width="12" style="5" customWidth="1"/>
    <col min="7" max="7" width="13.42578125" style="1262" customWidth="1"/>
    <col min="8" max="8" width="12.5703125" style="1262" customWidth="1"/>
    <col min="9" max="9" width="4.7109375" style="5"/>
    <col min="10" max="10" width="9.140625" style="5" bestFit="1" customWidth="1"/>
    <col min="11" max="16384" width="4.7109375" style="5"/>
  </cols>
  <sheetData>
    <row r="1" spans="1:10">
      <c r="A1" s="111"/>
      <c r="H1" s="1262">
        <v>18</v>
      </c>
    </row>
    <row r="2" spans="1:10" ht="12.75" customHeight="1">
      <c r="B2" s="913" t="s">
        <v>1186</v>
      </c>
      <c r="C2" s="6"/>
      <c r="D2" s="914" t="str">
        <f>'Реквизиты организации'!C8</f>
        <v>МУ МПЖКХ Гусь-Железный</v>
      </c>
      <c r="F2" s="6"/>
      <c r="G2" s="1263"/>
    </row>
    <row r="3" spans="1:10" ht="12.75" customHeight="1">
      <c r="A3" s="6"/>
      <c r="B3" s="6"/>
      <c r="C3" s="6"/>
      <c r="D3" s="6"/>
      <c r="E3" s="6"/>
      <c r="F3" s="6"/>
      <c r="G3" s="1263"/>
    </row>
    <row r="4" spans="1:10" s="10" customFormat="1" ht="67.5">
      <c r="A4" s="8" t="s">
        <v>244</v>
      </c>
      <c r="B4" s="8" t="s">
        <v>245</v>
      </c>
      <c r="C4" s="8" t="s">
        <v>261</v>
      </c>
      <c r="D4" s="8" t="s">
        <v>264</v>
      </c>
      <c r="E4" s="8" t="s">
        <v>262</v>
      </c>
      <c r="F4" s="8" t="s">
        <v>266</v>
      </c>
      <c r="G4" s="1264" t="s">
        <v>267</v>
      </c>
      <c r="H4" s="1264" t="s">
        <v>1318</v>
      </c>
      <c r="J4" s="10" t="s">
        <v>1248</v>
      </c>
    </row>
    <row r="5" spans="1:10" s="3" customFormat="1" ht="12.75" customHeight="1" thickBot="1">
      <c r="A5" s="1820" t="s">
        <v>324</v>
      </c>
      <c r="B5" s="1821"/>
      <c r="C5" s="1821"/>
      <c r="D5" s="1821"/>
      <c r="E5" s="1821"/>
      <c r="F5" s="1821"/>
      <c r="G5" s="1822"/>
      <c r="H5" s="1276"/>
    </row>
    <row r="6" spans="1:10" s="10" customFormat="1" ht="12" customHeight="1" thickBot="1">
      <c r="A6" s="1837" t="s">
        <v>298</v>
      </c>
      <c r="B6" s="1823" t="s">
        <v>420</v>
      </c>
      <c r="C6" s="1832" t="s">
        <v>418</v>
      </c>
      <c r="D6" s="1832"/>
      <c r="E6" s="1832"/>
      <c r="F6" s="1833"/>
      <c r="G6" s="1265">
        <f>SUM(G7:G32)</f>
        <v>1611442.6129360001</v>
      </c>
      <c r="H6" s="1470">
        <f>SUM(H7:H31)</f>
        <v>1933731.1355232</v>
      </c>
      <c r="J6" s="10">
        <f>1073.53817+238.059+18.0075+68.2349+30.56016</f>
        <v>1428.3997299999999</v>
      </c>
    </row>
    <row r="7" spans="1:10" s="10" customFormat="1" ht="11.25">
      <c r="A7" s="1837"/>
      <c r="B7" s="1824"/>
      <c r="C7" s="911" t="str">
        <f>'Ком предл.'!C22</f>
        <v>СИП 3 1*50</v>
      </c>
      <c r="D7" s="912" t="str">
        <f>'Ком предл.'!E22</f>
        <v>м</v>
      </c>
      <c r="E7" s="912">
        <f>'Ком предл.'!F22</f>
        <v>4676</v>
      </c>
      <c r="F7" s="912">
        <f>'Ком предл.'!G22</f>
        <v>48.846720000000005</v>
      </c>
      <c r="G7" s="1266">
        <f>'Ком предл.'!J22</f>
        <v>228407.26272000003</v>
      </c>
      <c r="H7" s="1264">
        <f>G7*1.2</f>
        <v>274088.715264</v>
      </c>
    </row>
    <row r="8" spans="1:10" s="10" customFormat="1" ht="11.25">
      <c r="A8" s="1837"/>
      <c r="B8" s="1824"/>
      <c r="C8" s="911" t="str">
        <f>'Ком предл.'!C23</f>
        <v>Стойка СВ110</v>
      </c>
      <c r="D8" s="912" t="str">
        <f>'Ком предл.'!E23</f>
        <v>шт</v>
      </c>
      <c r="E8" s="912">
        <f>'Ком предл.'!F23</f>
        <v>32</v>
      </c>
      <c r="F8" s="912">
        <f>'Ком предл.'!G23</f>
        <v>11247.6</v>
      </c>
      <c r="G8" s="1267">
        <f>'Ком предл.'!J23</f>
        <v>359923.20000000001</v>
      </c>
      <c r="H8" s="1264">
        <f t="shared" ref="H8:H31" si="0">G8*1.2</f>
        <v>431907.84000000003</v>
      </c>
    </row>
    <row r="9" spans="1:10" s="10" customFormat="1" ht="11.25">
      <c r="A9" s="1837"/>
      <c r="B9" s="1824"/>
      <c r="C9" s="911" t="str">
        <f>'Ком предл.'!C24</f>
        <v>Арматура подвесная</v>
      </c>
      <c r="D9" s="912">
        <f>'Ком предл.'!E24</f>
        <v>0</v>
      </c>
      <c r="E9" s="912">
        <f>'Ком предл.'!F24</f>
        <v>0</v>
      </c>
      <c r="F9" s="912">
        <f>'Ком предл.'!G24</f>
        <v>0</v>
      </c>
      <c r="G9" s="1267">
        <f>'Ком предл.'!J24</f>
        <v>0</v>
      </c>
      <c r="H9" s="1264">
        <f t="shared" si="0"/>
        <v>0</v>
      </c>
    </row>
    <row r="10" spans="1:10" s="10" customFormat="1" ht="11.25">
      <c r="A10" s="1837"/>
      <c r="B10" s="1824"/>
      <c r="C10" s="911" t="str">
        <f>'Ком предл.'!C25</f>
        <v>Заземляющий проводник ЗП6 см. 21.0112-20</v>
      </c>
      <c r="D10" s="912" t="str">
        <f>'Ком предл.'!E25</f>
        <v>шт</v>
      </c>
      <c r="E10" s="912">
        <f>'Ком предл.'!F25</f>
        <v>75</v>
      </c>
      <c r="F10" s="912">
        <f>'Ком предл.'!G25</f>
        <v>141.04490399999997</v>
      </c>
      <c r="G10" s="1267">
        <f>'Ком предл.'!J25</f>
        <v>10578.367799999998</v>
      </c>
      <c r="H10" s="1264">
        <f t="shared" si="0"/>
        <v>12694.041359999997</v>
      </c>
    </row>
    <row r="11" spans="1:10" s="10" customFormat="1" ht="11.25">
      <c r="A11" s="1837"/>
      <c r="B11" s="1824"/>
      <c r="C11" s="911" t="str">
        <f>'Ком предл.'!C26</f>
        <v>Изолятор ШС-10д,  ШФ-20-Г</v>
      </c>
      <c r="D11" s="912" t="str">
        <f>'Ком предл.'!E26</f>
        <v>шт</v>
      </c>
      <c r="E11" s="912">
        <f>'Ком предл.'!F26</f>
        <v>299</v>
      </c>
      <c r="F11" s="912">
        <f>'Ком предл.'!G26</f>
        <v>393.02328</v>
      </c>
      <c r="G11" s="1267">
        <f>'Ком предл.'!J26</f>
        <v>117513.96072</v>
      </c>
      <c r="H11" s="1264">
        <f t="shared" si="0"/>
        <v>141016.75286400001</v>
      </c>
    </row>
    <row r="12" spans="1:10" s="10" customFormat="1" ht="11.25">
      <c r="A12" s="1837"/>
      <c r="B12" s="1824"/>
      <c r="C12" s="911" t="str">
        <f>'Ком предл.'!C27</f>
        <v>Крюк КН-22 для ШФ-10, ШФ-20</v>
      </c>
      <c r="D12" s="912" t="str">
        <f>'Ком предл.'!E27</f>
        <v>шт</v>
      </c>
      <c r="E12" s="912">
        <f>'Ком предл.'!F27</f>
        <v>15</v>
      </c>
      <c r="F12" s="912">
        <f>'Ком предл.'!G27</f>
        <v>190.13800000000003</v>
      </c>
      <c r="G12" s="1267">
        <f>'Ком предл.'!J27</f>
        <v>2852.0700000000006</v>
      </c>
      <c r="H12" s="1264">
        <f t="shared" si="0"/>
        <v>3422.4840000000008</v>
      </c>
    </row>
    <row r="13" spans="1:10" s="10" customFormat="1" ht="11.25">
      <c r="A13" s="1837"/>
      <c r="B13" s="1824"/>
      <c r="C13" s="911" t="str">
        <f>'Ком предл.'!C28</f>
        <v>Колпачки КП-6а (КП-22)</v>
      </c>
      <c r="D13" s="912" t="str">
        <f>'Ком предл.'!E28</f>
        <v>шт</v>
      </c>
      <c r="E13" s="912">
        <f>'Ком предл.'!F28</f>
        <v>222</v>
      </c>
      <c r="F13" s="912">
        <f>'Ком предл.'!G28</f>
        <v>21.745360000000002</v>
      </c>
      <c r="G13" s="1267">
        <f>'Ком предл.'!J28</f>
        <v>4827.4699200000005</v>
      </c>
      <c r="H13" s="1264">
        <f t="shared" si="0"/>
        <v>5792.9639040000002</v>
      </c>
    </row>
    <row r="14" spans="1:10" s="10" customFormat="1" ht="11.25">
      <c r="A14" s="1837"/>
      <c r="B14" s="1824"/>
      <c r="C14" s="911" t="str">
        <f>'Ком предл.'!C29</f>
        <v>Зажим плашечный ПА-1-1</v>
      </c>
      <c r="D14" s="912" t="str">
        <f>'Ком предл.'!E29</f>
        <v>шт</v>
      </c>
      <c r="E14" s="912">
        <f>'Ком предл.'!F29</f>
        <v>148</v>
      </c>
      <c r="F14" s="912">
        <f>'Ком предл.'!G29</f>
        <v>25.441000000000003</v>
      </c>
      <c r="G14" s="1267">
        <f>'Ком предл.'!J29</f>
        <v>3765.2680000000005</v>
      </c>
      <c r="H14" s="1264">
        <f t="shared" si="0"/>
        <v>4518.3216000000002</v>
      </c>
    </row>
    <row r="15" spans="1:10" s="10" customFormat="1" ht="11.25">
      <c r="A15" s="1837"/>
      <c r="B15" s="1824"/>
      <c r="C15" s="911" t="str">
        <f>'Ком предл.'!C30</f>
        <v>Зажим плашечный ПА-2-2 2-х болтовой</v>
      </c>
      <c r="D15" s="912" t="str">
        <f>'Ком предл.'!E30</f>
        <v>шт</v>
      </c>
      <c r="E15" s="912">
        <f>'Ком предл.'!F30</f>
        <v>48</v>
      </c>
      <c r="F15" s="912">
        <f>'Ком предл.'!G30</f>
        <v>54.406247999999998</v>
      </c>
      <c r="G15" s="1267">
        <f>'Ком предл.'!J30</f>
        <v>2611.4999039999998</v>
      </c>
      <c r="H15" s="1264">
        <f t="shared" si="0"/>
        <v>3133.7998847999997</v>
      </c>
    </row>
    <row r="16" spans="1:10" s="10" customFormat="1" ht="11.25">
      <c r="A16" s="1837"/>
      <c r="B16" s="1824"/>
      <c r="C16" s="911" t="str">
        <f>'Ком предл.'!C31</f>
        <v>Зажим плашечный ПА-3-2 2-х болтовой</v>
      </c>
      <c r="D16" s="912" t="str">
        <f>'Ком предл.'!E31</f>
        <v>шт</v>
      </c>
      <c r="E16" s="912">
        <f>'Ком предл.'!F31</f>
        <v>48</v>
      </c>
      <c r="F16" s="912">
        <f>'Ком предл.'!G31</f>
        <v>101.33552</v>
      </c>
      <c r="G16" s="1267">
        <f>'Ком предл.'!J31</f>
        <v>4864.1049600000006</v>
      </c>
      <c r="H16" s="1264">
        <f t="shared" si="0"/>
        <v>5836.9259520000005</v>
      </c>
    </row>
    <row r="17" spans="1:8" s="10" customFormat="1" ht="11.25">
      <c r="A17" s="1837"/>
      <c r="B17" s="1824"/>
      <c r="C17" s="911" t="str">
        <f>'Ком предл.'!C32</f>
        <v>Зажим плашечный ПС-1-1</v>
      </c>
      <c r="D17" s="912" t="str">
        <f>'Ком предл.'!E32</f>
        <v>шт</v>
      </c>
      <c r="E17" s="912">
        <f>'Ком предл.'!F32</f>
        <v>91</v>
      </c>
      <c r="F17" s="912">
        <f>'Ком предл.'!G32</f>
        <v>49.296624000000008</v>
      </c>
      <c r="G17" s="1267">
        <f>'Ком предл.'!J32</f>
        <v>4485.9927840000009</v>
      </c>
      <c r="H17" s="1264">
        <f t="shared" si="0"/>
        <v>5383.1913408000009</v>
      </c>
    </row>
    <row r="18" spans="1:8" s="10" customFormat="1" ht="11.25">
      <c r="A18" s="1837"/>
      <c r="B18" s="1824"/>
      <c r="C18" s="911" t="str">
        <f>'Ком предл.'!C33</f>
        <v>Зажим плашечный ПС-2-1</v>
      </c>
      <c r="D18" s="912" t="str">
        <f>'Ком предл.'!E33</f>
        <v>шт</v>
      </c>
      <c r="E18" s="912">
        <f>'Ком предл.'!F33</f>
        <v>91</v>
      </c>
      <c r="F18" s="912">
        <f>'Ком предл.'!G33</f>
        <v>67.689128000000011</v>
      </c>
      <c r="G18" s="1267">
        <f>'Ком предл.'!J33</f>
        <v>6159.7106480000011</v>
      </c>
      <c r="H18" s="1264">
        <f t="shared" si="0"/>
        <v>7391.6527776000012</v>
      </c>
    </row>
    <row r="19" spans="1:8" s="10" customFormat="1" ht="11.25">
      <c r="A19" s="1837"/>
      <c r="B19" s="1824"/>
      <c r="C19" s="911" t="str">
        <f>'Ком предл.'!C34</f>
        <v>Вязка спиральная ВС 120/150-2</v>
      </c>
      <c r="D19" s="912" t="str">
        <f>'Ком предл.'!E34</f>
        <v>шт</v>
      </c>
      <c r="E19" s="912">
        <f>'Ком предл.'!F34</f>
        <v>222</v>
      </c>
      <c r="F19" s="912">
        <f>'Ком предл.'!G34</f>
        <v>151.78904</v>
      </c>
      <c r="G19" s="1267">
        <f>'Ком предл.'!J34</f>
        <v>33697.166879999997</v>
      </c>
      <c r="H19" s="1264">
        <f t="shared" si="0"/>
        <v>40436.600255999998</v>
      </c>
    </row>
    <row r="20" spans="1:8" s="10" customFormat="1" ht="11.25">
      <c r="A20" s="1837"/>
      <c r="B20" s="1824"/>
      <c r="C20" s="911" t="str">
        <f>'Ком предл.'!C35</f>
        <v xml:space="preserve">УЗД -1,1 </v>
      </c>
      <c r="D20" s="912" t="str">
        <f>'Ком предл.'!E35</f>
        <v>шт</v>
      </c>
      <c r="E20" s="912">
        <f>'Ком предл.'!F35</f>
        <v>95</v>
      </c>
      <c r="F20" s="912">
        <f>'Ком предл.'!G35</f>
        <v>441.87</v>
      </c>
      <c r="G20" s="1267">
        <f>'Ком предл.'!J35</f>
        <v>41977.65</v>
      </c>
      <c r="H20" s="1264">
        <f t="shared" si="0"/>
        <v>50373.18</v>
      </c>
    </row>
    <row r="21" spans="1:8" s="10" customFormat="1" ht="11.25">
      <c r="A21" s="1837"/>
      <c r="B21" s="1824"/>
      <c r="C21" s="911" t="str">
        <f>'Ком предл.'!C36</f>
        <v>УЗД-1,2</v>
      </c>
      <c r="D21" s="912" t="str">
        <f>'Ком предл.'!E36</f>
        <v>шт</v>
      </c>
      <c r="E21" s="912">
        <f>'Ком предл.'!F36</f>
        <v>95</v>
      </c>
      <c r="F21" s="912">
        <f>'Ком предл.'!G36</f>
        <v>467.31100000000004</v>
      </c>
      <c r="G21" s="1267">
        <f>'Ком предл.'!J36</f>
        <v>44394.545000000006</v>
      </c>
      <c r="H21" s="1264">
        <f t="shared" si="0"/>
        <v>53273.454000000005</v>
      </c>
    </row>
    <row r="22" spans="1:8" s="10" customFormat="1" ht="11.25">
      <c r="A22" s="1837"/>
      <c r="B22" s="1824"/>
      <c r="C22" s="911" t="str">
        <f>'Ком предл.'!C37</f>
        <v>АС 50 (цена за метр)</v>
      </c>
      <c r="D22" s="912" t="str">
        <f>'Ком предл.'!E37</f>
        <v>м</v>
      </c>
      <c r="E22" s="912">
        <f>'Ком предл.'!F37</f>
        <v>1027</v>
      </c>
      <c r="F22" s="912">
        <f>'Ком предл.'!G37</f>
        <v>48.204000000000001</v>
      </c>
      <c r="G22" s="1267">
        <f>'Ком предл.'!J37</f>
        <v>49505.508000000002</v>
      </c>
      <c r="H22" s="1264">
        <f t="shared" si="0"/>
        <v>59406.609599999996</v>
      </c>
    </row>
    <row r="23" spans="1:8" s="10" customFormat="1" ht="11.25">
      <c r="A23" s="1837"/>
      <c r="B23" s="1824"/>
      <c r="C23" s="911" t="str">
        <f>'Ком предл.'!C38</f>
        <v>АС 70 (цена за метр)</v>
      </c>
      <c r="D23" s="912" t="str">
        <f>'Ком предл.'!E38</f>
        <v>м</v>
      </c>
      <c r="E23" s="912">
        <f>'Ком предл.'!F38</f>
        <v>1027</v>
      </c>
      <c r="F23" s="912">
        <f>'Ком предл.'!G38</f>
        <v>66.95</v>
      </c>
      <c r="G23" s="1267">
        <f>'Ком предл.'!J38</f>
        <v>68757.650000000009</v>
      </c>
      <c r="H23" s="1264">
        <f t="shared" si="0"/>
        <v>82509.180000000008</v>
      </c>
    </row>
    <row r="24" spans="1:8" s="10" customFormat="1" ht="11.25">
      <c r="A24" s="1837"/>
      <c r="B24" s="1824"/>
      <c r="C24" s="911" t="str">
        <f>'Ком предл.'!C39</f>
        <v>Разрядник РВО-10 У1</v>
      </c>
      <c r="D24" s="912" t="str">
        <f>'Ком предл.'!E39</f>
        <v>шт</v>
      </c>
      <c r="E24" s="912">
        <f>'Ком предл.'!F39</f>
        <v>68</v>
      </c>
      <c r="F24" s="912">
        <f>'Ком предл.'!G39</f>
        <v>1377.8310000000001</v>
      </c>
      <c r="G24" s="1267">
        <f>'Ком предл.'!J39</f>
        <v>93692.508000000002</v>
      </c>
      <c r="H24" s="1264">
        <f t="shared" si="0"/>
        <v>112431.0096</v>
      </c>
    </row>
    <row r="25" spans="1:8" s="10" customFormat="1" ht="11.25">
      <c r="A25" s="1837"/>
      <c r="B25" s="1824"/>
      <c r="C25" s="911" t="str">
        <f>'Ком предл.'!C40</f>
        <v>Разрядник РДИП-10 У3</v>
      </c>
      <c r="D25" s="912" t="str">
        <f>'Ком предл.'!E40</f>
        <v>шт</v>
      </c>
      <c r="E25" s="912">
        <f>'Ком предл.'!F40</f>
        <v>52</v>
      </c>
      <c r="F25" s="912">
        <f>'Ком предл.'!G40</f>
        <v>6247.7740000000003</v>
      </c>
      <c r="G25" s="1267">
        <f>'Ком предл.'!J40</f>
        <v>324884.24800000002</v>
      </c>
      <c r="H25" s="1264">
        <f t="shared" si="0"/>
        <v>389861.09760000004</v>
      </c>
    </row>
    <row r="26" spans="1:8" s="10" customFormat="1" ht="11.25">
      <c r="A26" s="1837"/>
      <c r="B26" s="1824"/>
      <c r="C26" s="911" t="str">
        <f>'Ком предл.'!C41</f>
        <v>Уголок 50х50х4, метр или кг</v>
      </c>
      <c r="D26" s="912" t="str">
        <f>'Ком предл.'!E41</f>
        <v>кг</v>
      </c>
      <c r="E26" s="912">
        <f>'Ком предл.'!F41</f>
        <v>385</v>
      </c>
      <c r="F26" s="912">
        <f>'Ком предл.'!G41</f>
        <v>229.097544</v>
      </c>
      <c r="G26" s="1267">
        <f>'Ком предл.'!J41</f>
        <v>88202.554439999993</v>
      </c>
      <c r="H26" s="1264">
        <f t="shared" si="0"/>
        <v>105843.06532799998</v>
      </c>
    </row>
    <row r="27" spans="1:8" s="10" customFormat="1" ht="11.25">
      <c r="A27" s="1837"/>
      <c r="B27" s="1824"/>
      <c r="C27" s="911" t="str">
        <f>'Ком предл.'!C42</f>
        <v>Пруток Ф10, метр или кг круг ст3</v>
      </c>
      <c r="D27" s="912" t="str">
        <f>'Ком предл.'!E42</f>
        <v>кг</v>
      </c>
      <c r="E27" s="912">
        <f>'Ком предл.'!F42</f>
        <v>192</v>
      </c>
      <c r="F27" s="912">
        <f>'Ком предл.'!G42</f>
        <v>27.208480000000002</v>
      </c>
      <c r="G27" s="1267">
        <f>'Ком предл.'!J42</f>
        <v>5224.0281599999998</v>
      </c>
      <c r="H27" s="1264">
        <f t="shared" si="0"/>
        <v>6268.8337919999994</v>
      </c>
    </row>
    <row r="28" spans="1:8" s="10" customFormat="1" ht="11.25">
      <c r="A28" s="1837"/>
      <c r="B28" s="1824"/>
      <c r="C28" s="911" t="str">
        <f>'Ком предл.'!C43</f>
        <v>Гайка М10</v>
      </c>
      <c r="D28" s="912" t="str">
        <f>'Ком предл.'!E43</f>
        <v>шт</v>
      </c>
      <c r="E28" s="912">
        <f>'Ком предл.'!F43</f>
        <v>377</v>
      </c>
      <c r="F28" s="912">
        <f>'Ком предл.'!G43</f>
        <v>132.56100000000001</v>
      </c>
      <c r="G28" s="1267">
        <f>'Ком предл.'!J43</f>
        <v>49975.497000000003</v>
      </c>
      <c r="H28" s="1264">
        <f t="shared" si="0"/>
        <v>59970.596400000002</v>
      </c>
    </row>
    <row r="29" spans="1:8" s="10" customFormat="1" ht="11.25">
      <c r="A29" s="1837"/>
      <c r="B29" s="1824"/>
      <c r="C29" s="911" t="str">
        <f>'Ком предл.'!C44</f>
        <v>Труба 1'</v>
      </c>
      <c r="D29" s="912" t="str">
        <f>'Ком предл.'!E44</f>
        <v>м</v>
      </c>
      <c r="E29" s="912">
        <f>'Ком предл.'!F44</f>
        <v>34</v>
      </c>
      <c r="F29" s="912">
        <f>'Ком предл.'!G44</f>
        <v>0</v>
      </c>
      <c r="G29" s="1267">
        <f>'Ком предл.'!J44</f>
        <v>0</v>
      </c>
      <c r="H29" s="1264">
        <f t="shared" si="0"/>
        <v>0</v>
      </c>
    </row>
    <row r="30" spans="1:8" s="10" customFormat="1" ht="11.25">
      <c r="A30" s="1837"/>
      <c r="B30" s="1824"/>
      <c r="C30" s="911" t="str">
        <f>'Ком предл.'!C45</f>
        <v>Разъединитель РЛНДМ-1-10-400 У1 (3-х пол.)</v>
      </c>
      <c r="D30" s="912" t="str">
        <f>'Ком предл.'!E45</f>
        <v>шт</v>
      </c>
      <c r="E30" s="912">
        <f>'Ком предл.'!F45</f>
        <v>7</v>
      </c>
      <c r="F30" s="912">
        <f>'Ком предл.'!G45</f>
        <v>9306.0500000000011</v>
      </c>
      <c r="G30" s="1267">
        <f>'Ком предл.'!J45</f>
        <v>65142.350000000006</v>
      </c>
      <c r="H30" s="1264">
        <f>G30*1.2</f>
        <v>78170.820000000007</v>
      </c>
    </row>
    <row r="31" spans="1:8" s="10" customFormat="1" ht="11.25">
      <c r="A31" s="1837"/>
      <c r="B31" s="1824"/>
      <c r="C31" s="911" t="str">
        <f>'Ком предл.'!C46</f>
        <v>Катанка ф6-8мм</v>
      </c>
      <c r="D31" s="912" t="str">
        <f>'Ком предл.'!E46</f>
        <v>кг</v>
      </c>
      <c r="E31" s="912">
        <f>'Ком предл.'!F46</f>
        <v>377</v>
      </c>
      <c r="F31" s="912">
        <f>'Ком предл.'!G46</f>
        <v>0</v>
      </c>
      <c r="G31" s="1267">
        <f>'Ком предл.'!J46</f>
        <v>0</v>
      </c>
      <c r="H31" s="1264">
        <f t="shared" si="0"/>
        <v>0</v>
      </c>
    </row>
    <row r="32" spans="1:8" s="10" customFormat="1" ht="13.5" customHeight="1" thickBot="1">
      <c r="A32" s="1837"/>
      <c r="B32" s="1825"/>
      <c r="C32" s="8"/>
      <c r="D32" s="12"/>
      <c r="E32" s="12"/>
      <c r="F32" s="12"/>
      <c r="G32" s="1268"/>
      <c r="H32" s="1277"/>
    </row>
    <row r="33" spans="1:10" s="10" customFormat="1" ht="14.25" customHeight="1" thickBot="1">
      <c r="A33" s="11" t="s">
        <v>260</v>
      </c>
      <c r="B33" s="1832" t="s">
        <v>419</v>
      </c>
      <c r="C33" s="1832"/>
      <c r="D33" s="1832"/>
      <c r="E33" s="1832"/>
      <c r="F33" s="1833"/>
      <c r="G33" s="1265"/>
      <c r="H33" s="1277"/>
    </row>
    <row r="34" spans="1:10" s="13" customFormat="1" ht="14.25" customHeight="1" thickBot="1">
      <c r="A34" s="1820" t="s">
        <v>325</v>
      </c>
      <c r="B34" s="1821"/>
      <c r="C34" s="1821"/>
      <c r="D34" s="1821"/>
      <c r="E34" s="1821"/>
      <c r="F34" s="1821"/>
      <c r="G34" s="1842"/>
      <c r="H34" s="1276"/>
    </row>
    <row r="35" spans="1:10" s="10" customFormat="1" ht="12" customHeight="1" thickBot="1">
      <c r="A35" s="1837" t="s">
        <v>247</v>
      </c>
      <c r="B35" s="1823" t="s">
        <v>420</v>
      </c>
      <c r="C35" s="1832" t="s">
        <v>418</v>
      </c>
      <c r="D35" s="1832"/>
      <c r="E35" s="1832"/>
      <c r="F35" s="1833"/>
      <c r="G35" s="1265">
        <f>SUM(G36:G77)</f>
        <v>2046415.3703760002</v>
      </c>
      <c r="H35" s="1265">
        <f>SUM(H36:H77)</f>
        <v>2455698.4444512003</v>
      </c>
    </row>
    <row r="36" spans="1:10" s="10" customFormat="1" ht="15.75" customHeight="1">
      <c r="A36" s="1837"/>
      <c r="B36" s="1824"/>
      <c r="C36" s="911" t="str">
        <f>'Ком предл.'!C51</f>
        <v>СИП  2  3*50+1*54,6+2*25</v>
      </c>
      <c r="D36" s="911" t="str">
        <f>'Ком предл.'!E51</f>
        <v>м</v>
      </c>
      <c r="E36" s="911">
        <f>'Ком предл.'!F51</f>
        <v>2004</v>
      </c>
      <c r="F36" s="911">
        <f>'Ком предл.'!G51</f>
        <v>247.9828</v>
      </c>
      <c r="G36" s="1269">
        <f>'Ком предл.'!J51</f>
        <v>496957.53119999997</v>
      </c>
      <c r="H36" s="1277">
        <f>G36*1.2</f>
        <v>596349.03743999999</v>
      </c>
    </row>
    <row r="37" spans="1:10" s="10" customFormat="1" ht="11.25">
      <c r="A37" s="1837"/>
      <c r="B37" s="1824"/>
      <c r="C37" s="911" t="str">
        <f>'Ком предл.'!C52</f>
        <v>СИП  2  3*70+1*54,6+2*25</v>
      </c>
      <c r="D37" s="911" t="str">
        <f>'Ком предл.'!E52</f>
        <v>м</v>
      </c>
      <c r="E37" s="911">
        <f>'Ком предл.'!F52</f>
        <v>1180</v>
      </c>
      <c r="F37" s="911">
        <f>'Ком предл.'!G52</f>
        <v>251.51776000000004</v>
      </c>
      <c r="G37" s="1269">
        <f>'Ком предл.'!J52</f>
        <v>296790.95680000004</v>
      </c>
      <c r="H37" s="1277">
        <f t="shared" ref="H37:H75" si="1">G37*1.2</f>
        <v>356149.14816000004</v>
      </c>
      <c r="J37" s="10" t="s">
        <v>1317</v>
      </c>
    </row>
    <row r="38" spans="1:10" s="10" customFormat="1" ht="11.25">
      <c r="A38" s="1837"/>
      <c r="B38" s="1824"/>
      <c r="C38" s="911" t="str">
        <f>'Ком предл.'!C53</f>
        <v>ЖБ и арматура подвесная</v>
      </c>
      <c r="D38" s="911">
        <f>'Ком предл.'!E53</f>
        <v>0</v>
      </c>
      <c r="E38" s="911">
        <f>'Ком предл.'!F53</f>
        <v>0</v>
      </c>
      <c r="F38" s="911">
        <f>'Ком предл.'!G53</f>
        <v>0</v>
      </c>
      <c r="G38" s="1269">
        <f>'Ком предл.'!J53</f>
        <v>0</v>
      </c>
      <c r="H38" s="1277">
        <f t="shared" si="1"/>
        <v>0</v>
      </c>
    </row>
    <row r="39" spans="1:10" s="10" customFormat="1" ht="11.25">
      <c r="A39" s="1837"/>
      <c r="B39" s="1824"/>
      <c r="C39" s="911" t="str">
        <f>'Ком предл.'!C54</f>
        <v>Стойка СВ95</v>
      </c>
      <c r="D39" s="911" t="str">
        <f>'Ком предл.'!E54</f>
        <v>шт</v>
      </c>
      <c r="E39" s="911">
        <f>'Ком предл.'!F54</f>
        <v>44</v>
      </c>
      <c r="F39" s="911">
        <f>'Ком предл.'!G54</f>
        <v>8003.5672080000013</v>
      </c>
      <c r="G39" s="1269">
        <f>'Ком предл.'!J54</f>
        <v>352156.95715200005</v>
      </c>
      <c r="H39" s="1277">
        <f t="shared" si="1"/>
        <v>422588.34858240007</v>
      </c>
    </row>
    <row r="40" spans="1:10" s="10" customFormat="1" ht="13.5" customHeight="1">
      <c r="A40" s="1837"/>
      <c r="B40" s="1824"/>
      <c r="C40" s="911" t="str">
        <f>'Ком предл.'!C55</f>
        <v>Заземляющий проводник ЗП6 см. 21.0112-20</v>
      </c>
      <c r="D40" s="911" t="str">
        <f>'Ком предл.'!E55</f>
        <v>шт</v>
      </c>
      <c r="E40" s="911">
        <f>'Ком предл.'!F55</f>
        <v>75</v>
      </c>
      <c r="F40" s="911">
        <f>'Ком предл.'!G55</f>
        <v>141.04490399999997</v>
      </c>
      <c r="G40" s="1269">
        <f>'Ком предл.'!J55</f>
        <v>10578.367799999998</v>
      </c>
      <c r="H40" s="1277">
        <f t="shared" si="1"/>
        <v>12694.041359999997</v>
      </c>
    </row>
    <row r="41" spans="1:10" s="10" customFormat="1" ht="11.25">
      <c r="A41" s="1837"/>
      <c r="B41" s="1824"/>
      <c r="C41" s="911" t="str">
        <f>'Ком предл.'!C56</f>
        <v>Металлическая лента 20х0,7х1000 мм F 20.07</v>
      </c>
      <c r="D41" s="911" t="str">
        <f>'Ком предл.'!E56</f>
        <v>рулон</v>
      </c>
      <c r="E41" s="911">
        <f>'Ком предл.'!F56</f>
        <v>30</v>
      </c>
      <c r="F41" s="911">
        <f>'Ком предл.'!G56</f>
        <v>59.451599999999999</v>
      </c>
      <c r="G41" s="1269">
        <f>'Ком предл.'!J56</f>
        <v>1783.548</v>
      </c>
      <c r="H41" s="1277">
        <f t="shared" si="1"/>
        <v>2140.2575999999999</v>
      </c>
    </row>
    <row r="42" spans="1:10" s="10" customFormat="1" ht="11.25">
      <c r="A42" s="11"/>
      <c r="B42" s="1824"/>
      <c r="C42" s="911" t="str">
        <f>'Ком предл.'!C57</f>
        <v>Скрепа С20</v>
      </c>
      <c r="D42" s="911" t="str">
        <f>'Ком предл.'!E57</f>
        <v>уп.(100шт)</v>
      </c>
      <c r="E42" s="911">
        <f>'Ком предл.'!F57</f>
        <v>6</v>
      </c>
      <c r="F42" s="911">
        <f>'Ком предл.'!G57</f>
        <v>16.496480000000002</v>
      </c>
      <c r="G42" s="1269">
        <f>'Ком предл.'!J57</f>
        <v>98.978880000000004</v>
      </c>
      <c r="H42" s="1277">
        <f t="shared" si="1"/>
        <v>118.77465599999999</v>
      </c>
    </row>
    <row r="43" spans="1:10" s="10" customFormat="1" ht="11.25">
      <c r="A43" s="11"/>
      <c r="B43" s="1824"/>
      <c r="C43" s="911" t="str">
        <f>'Ком предл.'!C58</f>
        <v>Комплект промежуточной подвески ES 1500</v>
      </c>
      <c r="D43" s="911" t="str">
        <f>'Ком предл.'!E58</f>
        <v>шт</v>
      </c>
      <c r="E43" s="911">
        <f>'Ком предл.'!F58</f>
        <v>75</v>
      </c>
      <c r="F43" s="911">
        <f>'Ком предл.'!G58</f>
        <v>742.98432000000003</v>
      </c>
      <c r="G43" s="1269">
        <f>'Ком предл.'!J58</f>
        <v>55723.824000000001</v>
      </c>
      <c r="H43" s="1277">
        <f t="shared" si="1"/>
        <v>66868.588799999998</v>
      </c>
    </row>
    <row r="44" spans="1:10" s="10" customFormat="1" ht="11.25">
      <c r="A44" s="11"/>
      <c r="B44" s="1824"/>
      <c r="C44" s="911" t="str">
        <f>'Ком предл.'!C59</f>
        <v>Анкерный кронштейн СА-2000</v>
      </c>
      <c r="D44" s="911" t="str">
        <f>'Ком предл.'!E59</f>
        <v>шт</v>
      </c>
      <c r="E44" s="911">
        <f>'Ком предл.'!F59</f>
        <v>41</v>
      </c>
      <c r="F44" s="911">
        <f>'Ком предл.'!G59</f>
        <v>355.20992000000007</v>
      </c>
      <c r="G44" s="1269">
        <f>'Ком предл.'!J59</f>
        <v>14563.606720000003</v>
      </c>
      <c r="H44" s="1277">
        <f t="shared" si="1"/>
        <v>17476.328064000005</v>
      </c>
    </row>
    <row r="45" spans="1:10" s="10" customFormat="1" ht="11.25">
      <c r="A45" s="11"/>
      <c r="B45" s="1824"/>
      <c r="C45" s="911" t="str">
        <f>'Ком предл.'!C60</f>
        <v>Натяжной зажим РА1500</v>
      </c>
      <c r="D45" s="911" t="str">
        <f>'Ком предл.'!E60</f>
        <v>шт</v>
      </c>
      <c r="E45" s="911">
        <f>'Ком предл.'!F60</f>
        <v>41</v>
      </c>
      <c r="F45" s="911">
        <f>'Ком предл.'!G60</f>
        <v>590.01695999999993</v>
      </c>
      <c r="G45" s="1269">
        <f>'Ком предл.'!J60</f>
        <v>24190.695359999998</v>
      </c>
      <c r="H45" s="1277">
        <f t="shared" si="1"/>
        <v>29028.834431999996</v>
      </c>
    </row>
    <row r="46" spans="1:10" s="10" customFormat="1" ht="11.25">
      <c r="A46" s="11"/>
      <c r="B46" s="1824"/>
      <c r="C46" s="911" t="str">
        <f>'Ком предл.'!C61</f>
        <v>Зажим ОР-6                                             00752</v>
      </c>
      <c r="D46" s="911" t="str">
        <f>'Ком предл.'!E61</f>
        <v>шт</v>
      </c>
      <c r="E46" s="911">
        <f>'Ком предл.'!F61</f>
        <v>75</v>
      </c>
      <c r="F46" s="911">
        <f>'Ком предл.'!G61</f>
        <v>226.23744000000002</v>
      </c>
      <c r="G46" s="1269">
        <f>'Ком предл.'!J61</f>
        <v>16967.808000000001</v>
      </c>
      <c r="H46" s="1277">
        <f t="shared" si="1"/>
        <v>20361.369600000002</v>
      </c>
    </row>
    <row r="47" spans="1:10" s="10" customFormat="1" ht="11.25">
      <c r="A47" s="11"/>
      <c r="B47" s="1824"/>
      <c r="C47" s="911" t="str">
        <f>'Ком предл.'!C62</f>
        <v>Провод изолированный ПВС 3х2,5 ГОСТ 7399-80</v>
      </c>
      <c r="D47" s="911" t="str">
        <f>'Ком предл.'!E62</f>
        <v>м</v>
      </c>
      <c r="E47" s="911">
        <f>'Ком предл.'!F62</f>
        <v>754</v>
      </c>
      <c r="F47" s="911">
        <f>'Ком предл.'!G62</f>
        <v>64.379120000000015</v>
      </c>
      <c r="G47" s="1269">
        <f>'Ком предл.'!J62</f>
        <v>48541.856480000009</v>
      </c>
      <c r="H47" s="1277">
        <f t="shared" si="1"/>
        <v>58250.227776000007</v>
      </c>
    </row>
    <row r="48" spans="1:10" s="10" customFormat="1" ht="11.25">
      <c r="A48" s="11"/>
      <c r="B48" s="1824"/>
      <c r="C48" s="911" t="str">
        <f>'Ком предл.'!C63</f>
        <v>Зажим ZP-2                                                     24441</v>
      </c>
      <c r="D48" s="911" t="str">
        <f>'Ком предл.'!E63</f>
        <v>шт</v>
      </c>
      <c r="E48" s="911">
        <f>'Ком предл.'!F63</f>
        <v>302</v>
      </c>
      <c r="F48" s="911">
        <f>'Ком предл.'!G63</f>
        <v>477.86232000000007</v>
      </c>
      <c r="G48" s="1269">
        <f>'Ком предл.'!J63</f>
        <v>144314.42064000003</v>
      </c>
      <c r="H48" s="1277">
        <f t="shared" si="1"/>
        <v>173177.30476800003</v>
      </c>
    </row>
    <row r="49" spans="1:8" s="10" customFormat="1" ht="11.25">
      <c r="A49" s="11"/>
      <c r="B49" s="1824"/>
      <c r="C49" s="911" t="str">
        <f>'Ком предл.'!C64</f>
        <v>Зажим ПС-1-1 ТУ34-13-10273-88</v>
      </c>
      <c r="D49" s="911" t="str">
        <f>'Ком предл.'!E64</f>
        <v>шт</v>
      </c>
      <c r="E49" s="911">
        <f>'Ком предл.'!F64</f>
        <v>302</v>
      </c>
      <c r="F49" s="911">
        <f>'Ком предл.'!G64</f>
        <v>63.093680000000006</v>
      </c>
      <c r="G49" s="1269">
        <f>'Ком предл.'!J64</f>
        <v>19054.291360000003</v>
      </c>
      <c r="H49" s="1277">
        <f t="shared" si="1"/>
        <v>22865.149632000004</v>
      </c>
    </row>
    <row r="50" spans="1:8" s="10" customFormat="1" ht="11.25">
      <c r="A50" s="11"/>
      <c r="B50" s="1824"/>
      <c r="C50" s="911" t="str">
        <f>'Ком предл.'!C65</f>
        <v xml:space="preserve">Кабельный ремешок KR-1              19470 </v>
      </c>
      <c r="D50" s="911" t="str">
        <f>'Ком предл.'!E65</f>
        <v>шт</v>
      </c>
      <c r="E50" s="911">
        <f>'Ком предл.'!F65</f>
        <v>377</v>
      </c>
      <c r="F50" s="911">
        <f>'Ком предл.'!G65</f>
        <v>4.8204000000000002</v>
      </c>
      <c r="G50" s="1269">
        <f>'Ком предл.'!J65</f>
        <v>1817.2908</v>
      </c>
      <c r="H50" s="1277">
        <f t="shared" si="1"/>
        <v>2180.7489599999999</v>
      </c>
    </row>
    <row r="51" spans="1:8" s="10" customFormat="1" ht="11.25">
      <c r="A51" s="11"/>
      <c r="B51" s="1824"/>
      <c r="C51" s="911" t="str">
        <f>'Ком предл.'!C66</f>
        <v>Зажим KZP-1</v>
      </c>
      <c r="D51" s="911" t="str">
        <f>'Ком предл.'!E66</f>
        <v>шт</v>
      </c>
      <c r="E51" s="911">
        <f>'Ком предл.'!F66</f>
        <v>75</v>
      </c>
      <c r="F51" s="911">
        <f>'Ком предл.'!G66</f>
        <v>140.595</v>
      </c>
      <c r="G51" s="1269">
        <f>'Ком предл.'!J66</f>
        <v>10544.625</v>
      </c>
      <c r="H51" s="1277">
        <f t="shared" si="1"/>
        <v>12653.55</v>
      </c>
    </row>
    <row r="52" spans="1:8" s="10" customFormat="1" ht="11.25">
      <c r="A52" s="11"/>
      <c r="B52" s="1824"/>
      <c r="C52" s="911" t="str">
        <f>'Ком предл.'!C67</f>
        <v>Зажим KZP-2</v>
      </c>
      <c r="D52" s="911" t="str">
        <f>'Ком предл.'!E67</f>
        <v>шт</v>
      </c>
      <c r="E52" s="911">
        <f>'Ком предл.'!F67</f>
        <v>75</v>
      </c>
      <c r="F52" s="911">
        <f>'Ком предл.'!G67</f>
        <v>140.595</v>
      </c>
      <c r="G52" s="1269">
        <f>'Ком предл.'!J67</f>
        <v>10544.625</v>
      </c>
      <c r="H52" s="1277">
        <f t="shared" si="1"/>
        <v>12653.55</v>
      </c>
    </row>
    <row r="53" spans="1:8" s="10" customFormat="1" ht="11.25">
      <c r="A53" s="11"/>
      <c r="B53" s="1824"/>
      <c r="C53" s="911" t="str">
        <f>'Ком предл.'!C68</f>
        <v>Зажим для временного заземления ZVZ 481</v>
      </c>
      <c r="D53" s="911" t="str">
        <f>'Ком предл.'!E68</f>
        <v>шт</v>
      </c>
      <c r="E53" s="911">
        <f>'Ком предл.'!F68</f>
        <v>11</v>
      </c>
      <c r="F53" s="911">
        <f>'Ком предл.'!G68</f>
        <v>403.03900000000004</v>
      </c>
      <c r="G53" s="1269">
        <f>'Ком предл.'!J68</f>
        <v>4433.4290000000001</v>
      </c>
      <c r="H53" s="1277">
        <f t="shared" si="1"/>
        <v>5320.1148000000003</v>
      </c>
    </row>
    <row r="54" spans="1:8" s="10" customFormat="1" ht="11.25">
      <c r="A54" s="11"/>
      <c r="B54" s="1824"/>
      <c r="C54" s="911" t="str">
        <f>'Ком предл.'!C69</f>
        <v>Устройство для закорачивания UZK</v>
      </c>
      <c r="D54" s="911" t="str">
        <f>'Ком предл.'!E69</f>
        <v>шт</v>
      </c>
      <c r="E54" s="911">
        <f>'Ком предл.'!F69</f>
        <v>3</v>
      </c>
      <c r="F54" s="911">
        <f>'Ком предл.'!G69</f>
        <v>18795.2752</v>
      </c>
      <c r="G54" s="1269">
        <f>'Ком предл.'!J69</f>
        <v>56385.825599999996</v>
      </c>
      <c r="H54" s="1277">
        <f t="shared" si="1"/>
        <v>67662.990719999987</v>
      </c>
    </row>
    <row r="55" spans="1:8" s="10" customFormat="1" ht="11.25">
      <c r="A55" s="11"/>
      <c r="B55" s="1824"/>
      <c r="C55" s="911" t="str">
        <f>'Ком предл.'!C70</f>
        <v>Устройство заземления UZM</v>
      </c>
      <c r="D55" s="911" t="str">
        <f>'Ком предл.'!E70</f>
        <v>шт</v>
      </c>
      <c r="E55" s="911">
        <f>'Ком предл.'!F70</f>
        <v>3</v>
      </c>
      <c r="F55" s="911">
        <f>'Ком предл.'!G70</f>
        <v>17357.7248</v>
      </c>
      <c r="G55" s="1269">
        <f>'Ком предл.'!J70</f>
        <v>52073.174400000004</v>
      </c>
      <c r="H55" s="1277">
        <f t="shared" si="1"/>
        <v>62487.809280000001</v>
      </c>
    </row>
    <row r="56" spans="1:8" s="10" customFormat="1" ht="11.25">
      <c r="A56" s="11"/>
      <c r="B56" s="1824"/>
      <c r="C56" s="911" t="str">
        <f>'Ком предл.'!C71</f>
        <v>Эластомерные колпачки CI 25-150</v>
      </c>
      <c r="D56" s="911" t="str">
        <f>'Ком предл.'!E71</f>
        <v>шт</v>
      </c>
      <c r="E56" s="911">
        <f>'Ком предл.'!F71</f>
        <v>754</v>
      </c>
      <c r="F56" s="911">
        <f>'Ком предл.'!G71</f>
        <v>20.085000000000001</v>
      </c>
      <c r="G56" s="1269">
        <f>'Ком предл.'!J71</f>
        <v>15144.09</v>
      </c>
      <c r="H56" s="1277">
        <f t="shared" si="1"/>
        <v>18172.907999999999</v>
      </c>
    </row>
    <row r="57" spans="1:8" s="10" customFormat="1" ht="11.25">
      <c r="A57" s="11"/>
      <c r="B57" s="1824"/>
      <c r="C57" s="911" t="str">
        <f>'Ком предл.'!C72</f>
        <v>Дистанционный бандаж типа BIC-50.90</v>
      </c>
      <c r="D57" s="911" t="str">
        <f>'Ком предл.'!E72</f>
        <v>шт</v>
      </c>
      <c r="E57" s="911">
        <f>'Ком предл.'!F72</f>
        <v>377</v>
      </c>
      <c r="F57" s="911">
        <f>'Ком предл.'!G72</f>
        <v>211.13352</v>
      </c>
      <c r="G57" s="1269">
        <f>'Ком предл.'!J72</f>
        <v>79597.337039999999</v>
      </c>
      <c r="H57" s="1277">
        <f t="shared" si="1"/>
        <v>95516.804447999995</v>
      </c>
    </row>
    <row r="58" spans="1:8" s="10" customFormat="1" ht="11.25">
      <c r="A58" s="11"/>
      <c r="B58" s="1824"/>
      <c r="C58" s="911" t="str">
        <f>'Ком предл.'!C73</f>
        <v xml:space="preserve">Зажим анкерный SO 250.01 (50-70)    00745 </v>
      </c>
      <c r="D58" s="911" t="str">
        <f>'Ком предл.'!E73</f>
        <v>шт</v>
      </c>
      <c r="E58" s="911">
        <f>'Ком предл.'!F73</f>
        <v>41</v>
      </c>
      <c r="F58" s="911">
        <f>'Ком предл.'!G73</f>
        <v>643.14848000000006</v>
      </c>
      <c r="G58" s="1269">
        <f>'Ком предл.'!J73</f>
        <v>26369.087680000004</v>
      </c>
      <c r="H58" s="1277">
        <f t="shared" si="1"/>
        <v>31642.905216000003</v>
      </c>
    </row>
    <row r="59" spans="1:8" s="10" customFormat="1" ht="11.25">
      <c r="A59" s="11"/>
      <c r="B59" s="1824"/>
      <c r="C59" s="911" t="str">
        <f>'Ком предл.'!C74</f>
        <v>Зажим ответвительный SLIP 22.1 (10-95/10-95)</v>
      </c>
      <c r="D59" s="911" t="str">
        <f>'Ком предл.'!E74</f>
        <v>шт</v>
      </c>
      <c r="E59" s="911">
        <f>'Ком предл.'!F74</f>
        <v>514</v>
      </c>
      <c r="F59" s="911">
        <f>'Ком предл.'!G74</f>
        <v>187.46</v>
      </c>
      <c r="G59" s="1269">
        <f>'Ком предл.'!J74</f>
        <v>96354.44</v>
      </c>
      <c r="H59" s="1277">
        <f t="shared" si="1"/>
        <v>115625.32799999999</v>
      </c>
    </row>
    <row r="60" spans="1:8" s="10" customFormat="1" ht="11.25">
      <c r="A60" s="11"/>
      <c r="B60" s="1824"/>
      <c r="C60" s="911" t="str">
        <f>'Ком предл.'!C75</f>
        <v>Скоба-скреп. COT 36 (для ленты СОТ 37)</v>
      </c>
      <c r="D60" s="911" t="str">
        <f>'Ком предл.'!E75</f>
        <v>шт</v>
      </c>
      <c r="E60" s="911">
        <f>'Ком предл.'!F75</f>
        <v>1208</v>
      </c>
      <c r="F60" s="911">
        <f>'Ком предл.'!G75</f>
        <v>16.496480000000002</v>
      </c>
      <c r="G60" s="1269">
        <f>'Ком предл.'!J75</f>
        <v>19927.747840000004</v>
      </c>
      <c r="H60" s="1277">
        <f t="shared" si="1"/>
        <v>23913.297408000002</v>
      </c>
    </row>
    <row r="61" spans="1:8" s="10" customFormat="1" ht="11.25">
      <c r="A61" s="11"/>
      <c r="B61" s="1824"/>
      <c r="C61" s="911" t="str">
        <f>'Ком предл.'!C76</f>
        <v>Адаптер д/закороток и заземления PMCC</v>
      </c>
      <c r="D61" s="911" t="str">
        <f>'Ком предл.'!E76</f>
        <v>шт</v>
      </c>
      <c r="E61" s="911">
        <f>'Ком предл.'!F76</f>
        <v>18</v>
      </c>
      <c r="F61" s="911">
        <f>'Ком предл.'!G76</f>
        <v>357.7808</v>
      </c>
      <c r="G61" s="1269">
        <f>'Ком предл.'!J76</f>
        <v>6440.0544</v>
      </c>
      <c r="H61" s="1277">
        <f t="shared" si="1"/>
        <v>7728.0652799999998</v>
      </c>
    </row>
    <row r="62" spans="1:8" s="10" customFormat="1" ht="11.25">
      <c r="A62" s="11"/>
      <c r="B62" s="1824"/>
      <c r="C62" s="911" t="str">
        <f>'Ком предл.'!C77</f>
        <v xml:space="preserve">Инструмент натяжения и резки стальной ленты OPV (R-MAF)  код 00753 - cvf </v>
      </c>
      <c r="D62" s="911" t="str">
        <f>'Ком предл.'!E77</f>
        <v>шт</v>
      </c>
      <c r="E62" s="911">
        <f>'Ком предл.'!F77</f>
        <v>1</v>
      </c>
      <c r="F62" s="911">
        <f>'Ком предл.'!G77</f>
        <v>10630.803040000003</v>
      </c>
      <c r="G62" s="1269">
        <f>'Ком предл.'!J77</f>
        <v>10630.803040000003</v>
      </c>
      <c r="H62" s="1277">
        <f t="shared" si="1"/>
        <v>12756.963648000003</v>
      </c>
    </row>
    <row r="63" spans="1:8" s="10" customFormat="1" ht="11.25">
      <c r="A63" s="11"/>
      <c r="B63" s="1824"/>
      <c r="C63" s="911" t="str">
        <f>'Ком предл.'!C78</f>
        <v>Стяжной хомут CSL 260 мм (D 26-66мм)   17560</v>
      </c>
      <c r="D63" s="911" t="str">
        <f>'Ком предл.'!E78</f>
        <v>шт</v>
      </c>
      <c r="E63" s="911">
        <f>'Ком предл.'!F78</f>
        <v>31</v>
      </c>
      <c r="F63" s="911">
        <f>'Ком предл.'!G78</f>
        <v>10.819120000000002</v>
      </c>
      <c r="G63" s="1269">
        <f>'Ком предл.'!J78</f>
        <v>335.39272000000005</v>
      </c>
      <c r="H63" s="1277">
        <f t="shared" si="1"/>
        <v>402.47126400000008</v>
      </c>
    </row>
    <row r="64" spans="1:8" s="10" customFormat="1" ht="11.25">
      <c r="A64" s="11"/>
      <c r="B64" s="1824"/>
      <c r="C64" s="911" t="str">
        <f>'Ком предл.'!C79</f>
        <v xml:space="preserve">Фасадное крепление BRPF 70-150-6F (D 25-60мм, L 60мм)                        07330 </v>
      </c>
      <c r="D64" s="911" t="str">
        <f>'Ком предл.'!E79</f>
        <v>шт</v>
      </c>
      <c r="E64" s="911">
        <f>'Ком предл.'!F79</f>
        <v>31</v>
      </c>
      <c r="F64" s="911">
        <f>'Ком предл.'!G79</f>
        <v>60.844160000000002</v>
      </c>
      <c r="G64" s="1269">
        <f>'Ком предл.'!J79</f>
        <v>1886.16896</v>
      </c>
      <c r="H64" s="1277">
        <f t="shared" si="1"/>
        <v>2263.402752</v>
      </c>
    </row>
    <row r="65" spans="1:10" s="10" customFormat="1" ht="11.25">
      <c r="A65" s="11"/>
      <c r="B65" s="1824"/>
      <c r="C65" s="911" t="str">
        <f>'Ком предл.'!C80</f>
        <v>АС 70 (цена за метр)</v>
      </c>
      <c r="D65" s="911" t="str">
        <f>'Ком предл.'!E80</f>
        <v>м</v>
      </c>
      <c r="E65" s="911">
        <f>'Ком предл.'!F80</f>
        <v>1028</v>
      </c>
      <c r="F65" s="911">
        <f>'Ком предл.'!G80</f>
        <v>66.95</v>
      </c>
      <c r="G65" s="1269">
        <f>'Ком предл.'!J80</f>
        <v>68824.600000000006</v>
      </c>
      <c r="H65" s="1277">
        <f t="shared" si="1"/>
        <v>82589.52</v>
      </c>
    </row>
    <row r="66" spans="1:10" s="10" customFormat="1" ht="11.25">
      <c r="A66" s="11"/>
      <c r="B66" s="1824"/>
      <c r="C66" s="911" t="str">
        <f>'Ком предл.'!C81</f>
        <v>Зажим плашечный ПА-1-1</v>
      </c>
      <c r="D66" s="911" t="str">
        <f>'Ком предл.'!E81</f>
        <v>шт</v>
      </c>
      <c r="E66" s="911">
        <f>'Ком предл.'!F81</f>
        <v>31</v>
      </c>
      <c r="F66" s="911">
        <f>'Ком предл.'!G81</f>
        <v>25.441000000000003</v>
      </c>
      <c r="G66" s="1269">
        <f>'Ком предл.'!J81</f>
        <v>788.67100000000005</v>
      </c>
      <c r="H66" s="1277">
        <f t="shared" si="1"/>
        <v>946.40520000000004</v>
      </c>
    </row>
    <row r="67" spans="1:10" s="10" customFormat="1" ht="11.25">
      <c r="A67" s="11"/>
      <c r="B67" s="1824"/>
      <c r="C67" s="911" t="str">
        <f>'Ком предл.'!C82</f>
        <v>Зажим плашечный ПА-2-2 2-х болтовой</v>
      </c>
      <c r="D67" s="911" t="str">
        <f>'Ком предл.'!E82</f>
        <v>шт</v>
      </c>
      <c r="E67" s="911">
        <f>'Ком предл.'!F82</f>
        <v>31</v>
      </c>
      <c r="F67" s="911">
        <f>'Ком предл.'!G82</f>
        <v>54.406247999999998</v>
      </c>
      <c r="G67" s="1269">
        <f>'Ком предл.'!J82</f>
        <v>1686.5936879999999</v>
      </c>
      <c r="H67" s="1277">
        <f t="shared" si="1"/>
        <v>2023.9124255999998</v>
      </c>
    </row>
    <row r="68" spans="1:10" s="10" customFormat="1" ht="11.25">
      <c r="A68" s="11"/>
      <c r="B68" s="1824"/>
      <c r="C68" s="911" t="str">
        <f>'Ком предл.'!C83</f>
        <v>Зажим плашечный ПА-3-2 2-х болтовой</v>
      </c>
      <c r="D68" s="911" t="str">
        <f>'Ком предл.'!E83</f>
        <v>шт</v>
      </c>
      <c r="E68" s="911">
        <f>'Ком предл.'!F83</f>
        <v>31</v>
      </c>
      <c r="F68" s="911">
        <f>'Ком предл.'!G83</f>
        <v>101.33552</v>
      </c>
      <c r="G68" s="1269">
        <f>'Ком предл.'!J83</f>
        <v>3141.40112</v>
      </c>
      <c r="H68" s="1277">
        <f t="shared" si="1"/>
        <v>3769.6813439999996</v>
      </c>
    </row>
    <row r="69" spans="1:10" s="10" customFormat="1" ht="11.25">
      <c r="A69" s="11"/>
      <c r="B69" s="1824"/>
      <c r="C69" s="911" t="str">
        <f>'Ком предл.'!C84</f>
        <v>Зажим плашечный ПС-1-1</v>
      </c>
      <c r="D69" s="911" t="str">
        <f>'Ком предл.'!E84</f>
        <v>шт</v>
      </c>
      <c r="E69" s="911">
        <f>'Ком предл.'!F84</f>
        <v>31</v>
      </c>
      <c r="F69" s="911">
        <f>'Ком предл.'!G84</f>
        <v>49.296624000000008</v>
      </c>
      <c r="G69" s="1269">
        <f>'Ком предл.'!J84</f>
        <v>1528.1953440000002</v>
      </c>
      <c r="H69" s="1277">
        <f t="shared" si="1"/>
        <v>1833.8344128000001</v>
      </c>
    </row>
    <row r="70" spans="1:10" s="10" customFormat="1" ht="11.25">
      <c r="A70" s="11"/>
      <c r="B70" s="1824"/>
      <c r="C70" s="911" t="str">
        <f>'Ком предл.'!C85</f>
        <v>Зажим плашечный ПС-2-1</v>
      </c>
      <c r="D70" s="911" t="str">
        <f>'Ком предл.'!E85</f>
        <v>шт</v>
      </c>
      <c r="E70" s="911">
        <f>'Ком предл.'!F85</f>
        <v>31</v>
      </c>
      <c r="F70" s="911">
        <f>'Ком предл.'!G85</f>
        <v>67.689128000000011</v>
      </c>
      <c r="G70" s="1269">
        <f>'Ком предл.'!J85</f>
        <v>2098.3629680000004</v>
      </c>
      <c r="H70" s="1277">
        <f t="shared" si="1"/>
        <v>2518.0355616000002</v>
      </c>
    </row>
    <row r="71" spans="1:10" s="10" customFormat="1" ht="11.25">
      <c r="A71" s="11"/>
      <c r="B71" s="1824"/>
      <c r="C71" s="911" t="str">
        <f>'Ком предл.'!C86</f>
        <v>Зажим ответвительный P2X-95 (16-95/4-50мм2)</v>
      </c>
      <c r="D71" s="911" t="str">
        <f>'Ком предл.'!E86</f>
        <v>шт</v>
      </c>
      <c r="E71" s="911">
        <f>'Ком предл.'!F86</f>
        <v>0</v>
      </c>
      <c r="F71" s="911">
        <f>'Ком предл.'!G86</f>
        <v>187.46</v>
      </c>
      <c r="G71" s="1269">
        <f>'Ком предл.'!J86</f>
        <v>0</v>
      </c>
      <c r="H71" s="1277">
        <f t="shared" si="1"/>
        <v>0</v>
      </c>
    </row>
    <row r="72" spans="1:10" s="10" customFormat="1" ht="11.25">
      <c r="A72" s="11"/>
      <c r="B72" s="1824"/>
      <c r="C72" s="911" t="str">
        <f>'Ком предл.'!C87</f>
        <v>Уголок 50х50</v>
      </c>
      <c r="D72" s="911" t="str">
        <f>'Ком предл.'!E87</f>
        <v>м</v>
      </c>
      <c r="E72" s="911">
        <f>'Ком предл.'!F87</f>
        <v>257</v>
      </c>
      <c r="F72" s="911">
        <f>'Ком предл.'!G87</f>
        <v>0</v>
      </c>
      <c r="G72" s="1269">
        <f>'Ком предл.'!J87</f>
        <v>0</v>
      </c>
      <c r="H72" s="1277">
        <f t="shared" si="1"/>
        <v>0</v>
      </c>
    </row>
    <row r="73" spans="1:10" s="10" customFormat="1" ht="11.25">
      <c r="A73" s="11"/>
      <c r="B73" s="1824"/>
      <c r="C73" s="911" t="str">
        <f>'Ком предл.'!C88</f>
        <v>Труба 1'</v>
      </c>
      <c r="D73" s="911" t="str">
        <f>'Ком предл.'!E88</f>
        <v>м</v>
      </c>
      <c r="E73" s="911">
        <f>'Ком предл.'!F88</f>
        <v>93</v>
      </c>
      <c r="F73" s="911">
        <f>'Ком предл.'!G88</f>
        <v>0</v>
      </c>
      <c r="G73" s="1269">
        <f>'Ком предл.'!J88</f>
        <v>0</v>
      </c>
      <c r="H73" s="1277">
        <f t="shared" si="1"/>
        <v>0</v>
      </c>
    </row>
    <row r="74" spans="1:10" s="10" customFormat="1" ht="11.25">
      <c r="A74" s="11"/>
      <c r="B74" s="1824"/>
      <c r="C74" s="911" t="str">
        <f>'Ком предл.'!C89</f>
        <v>Ограничитель перенапряжения ОПС1-B 4Р In=30kA  Un=400B Im=60kA</v>
      </c>
      <c r="D74" s="911" t="str">
        <f>'Ком предл.'!E89</f>
        <v>шт</v>
      </c>
      <c r="E74" s="911">
        <f>'Ком предл.'!F89</f>
        <v>14</v>
      </c>
      <c r="F74" s="911">
        <f>'Ком предл.'!G89</f>
        <v>6724.3294560000004</v>
      </c>
      <c r="G74" s="1269">
        <f>'Ком предл.'!J89</f>
        <v>94140.612384000007</v>
      </c>
      <c r="H74" s="1277">
        <f t="shared" si="1"/>
        <v>112968.7348608</v>
      </c>
    </row>
    <row r="75" spans="1:10" s="10" customFormat="1" ht="11.25">
      <c r="A75" s="11"/>
      <c r="B75" s="1824"/>
      <c r="C75" s="911" t="str">
        <f>'Ком предл.'!C90</f>
        <v>Катанка ф6-8мм</v>
      </c>
      <c r="D75" s="911" t="str">
        <f>'Ком предл.'!E90</f>
        <v>кг</v>
      </c>
      <c r="E75" s="911">
        <f>'Ком предл.'!F90</f>
        <v>754</v>
      </c>
      <c r="F75" s="911">
        <f>'Ком предл.'!G90</f>
        <v>0</v>
      </c>
      <c r="G75" s="1269">
        <f>'Ком предл.'!J90</f>
        <v>0</v>
      </c>
      <c r="H75" s="1277">
        <f t="shared" si="1"/>
        <v>0</v>
      </c>
    </row>
    <row r="76" spans="1:10" s="10" customFormat="1" ht="15" customHeight="1">
      <c r="A76" s="11"/>
      <c r="B76" s="1824"/>
    </row>
    <row r="77" spans="1:10" s="10" customFormat="1" ht="12" thickBot="1">
      <c r="A77" s="11"/>
      <c r="B77" s="1825"/>
    </row>
    <row r="78" spans="1:10" s="10" customFormat="1" ht="14.25" customHeight="1" thickBot="1">
      <c r="A78" s="11" t="s">
        <v>248</v>
      </c>
      <c r="B78" s="1832" t="s">
        <v>419</v>
      </c>
      <c r="C78" s="1832"/>
      <c r="D78" s="1832"/>
      <c r="E78" s="1832"/>
      <c r="F78" s="1833"/>
      <c r="G78" s="1265"/>
      <c r="H78" s="1277"/>
    </row>
    <row r="79" spans="1:10" s="14" customFormat="1" ht="14.25" customHeight="1" thickBot="1">
      <c r="A79" s="1846" t="s">
        <v>293</v>
      </c>
      <c r="B79" s="1847"/>
      <c r="C79" s="1847"/>
      <c r="D79" s="1847"/>
      <c r="E79" s="1847"/>
      <c r="F79" s="1847"/>
      <c r="G79" s="1848"/>
      <c r="H79" s="1276"/>
    </row>
    <row r="80" spans="1:10" s="10" customFormat="1" ht="12" customHeight="1" thickBot="1">
      <c r="A80" s="1849" t="s">
        <v>301</v>
      </c>
      <c r="B80" s="1823" t="s">
        <v>420</v>
      </c>
      <c r="C80" s="1832" t="s">
        <v>418</v>
      </c>
      <c r="D80" s="1832"/>
      <c r="E80" s="1832"/>
      <c r="F80" s="1833"/>
      <c r="G80" s="1265">
        <f>SUM(G81:G87)</f>
        <v>98851.514320000002</v>
      </c>
      <c r="H80" s="1265">
        <f>SUM(H81:H91)</f>
        <v>118621.81718400001</v>
      </c>
      <c r="J80" s="10">
        <f>298.00162+253.8989</f>
        <v>551.90052000000003</v>
      </c>
    </row>
    <row r="81" spans="1:8" s="10" customFormat="1" ht="10.5" customHeight="1">
      <c r="A81" s="1850"/>
      <c r="B81" s="1824"/>
      <c r="C81" s="911" t="str">
        <f>'Ком предл.'!C98</f>
        <v>Кабель ААшв-10 3х70</v>
      </c>
      <c r="D81" s="911" t="str">
        <f>'Ком предл.'!E98</f>
        <v>м</v>
      </c>
      <c r="E81" s="911">
        <f>'Ком предл.'!F98</f>
        <v>75</v>
      </c>
      <c r="F81" s="911">
        <f>'Ком предл.'!G98</f>
        <v>592.48072000000002</v>
      </c>
      <c r="G81" s="1269">
        <f>'Ком предл.'!J98</f>
        <v>44436.054000000004</v>
      </c>
      <c r="H81" s="1277">
        <f t="shared" ref="H81:H83" si="2">G81*1.2</f>
        <v>53323.264800000004</v>
      </c>
    </row>
    <row r="82" spans="1:8" s="10" customFormat="1" ht="11.25">
      <c r="A82" s="1850"/>
      <c r="B82" s="1824"/>
      <c r="C82" s="911" t="str">
        <f>'Ком предл.'!C99</f>
        <v>КНтп-10-25/50 (3-х жил., до 10кV, сеч: 25, 35, 50 мм2) наружной установки</v>
      </c>
      <c r="D82" s="911" t="str">
        <f>'Ком предл.'!E99</f>
        <v>шт</v>
      </c>
      <c r="E82" s="911">
        <f>'Ком предл.'!F99</f>
        <v>5</v>
      </c>
      <c r="F82" s="911">
        <f>'Ком предл.'!G99</f>
        <v>4544.9944800000003</v>
      </c>
      <c r="G82" s="1269">
        <f>'Ком предл.'!J99</f>
        <v>22724.972400000002</v>
      </c>
      <c r="H82" s="1277">
        <f t="shared" si="2"/>
        <v>27269.966880000004</v>
      </c>
    </row>
    <row r="83" spans="1:8" s="10" customFormat="1" ht="11.25">
      <c r="A83" s="1850"/>
      <c r="B83" s="1824"/>
      <c r="C83" s="911" t="str">
        <f>'Ком предл.'!C100</f>
        <v>КНтп-10-70/120 (3-х жил., до 10кV, сеч: 70, 95, 120 мм2) наружной установки</v>
      </c>
      <c r="D83" s="911" t="str">
        <f>'Ком предл.'!E100</f>
        <v>шт</v>
      </c>
      <c r="E83" s="911">
        <f>'Ком предл.'!F100</f>
        <v>6</v>
      </c>
      <c r="F83" s="911">
        <f>'Ком предл.'!G100</f>
        <v>5117.2295200000008</v>
      </c>
      <c r="G83" s="1269">
        <f>'Ком предл.'!J100</f>
        <v>30703.377120000005</v>
      </c>
      <c r="H83" s="1277">
        <f t="shared" si="2"/>
        <v>36844.052544000006</v>
      </c>
    </row>
    <row r="84" spans="1:8" s="10" customFormat="1" ht="11.25">
      <c r="A84" s="1850"/>
      <c r="B84" s="1824"/>
      <c r="C84" s="911" t="str">
        <f>'Ком предл.'!C101</f>
        <v>Изолента</v>
      </c>
      <c r="D84" s="911" t="str">
        <f>'Ком предл.'!E101</f>
        <v>шт</v>
      </c>
      <c r="E84" s="911">
        <f>'Ком предл.'!F101</f>
        <v>19</v>
      </c>
      <c r="F84" s="911">
        <f>'Ком предл.'!G101</f>
        <v>51.953200000000002</v>
      </c>
      <c r="G84" s="1269">
        <f>'Ком предл.'!J101</f>
        <v>987.11080000000004</v>
      </c>
      <c r="H84" s="1277">
        <f t="shared" ref="H84:H85" si="3">G84*1.2</f>
        <v>1184.53296</v>
      </c>
    </row>
    <row r="85" spans="1:8" s="10" customFormat="1" ht="11.25">
      <c r="A85" s="1850"/>
      <c r="B85" s="1824"/>
      <c r="C85" s="911" t="str">
        <f>'Ком предл.'!C108</f>
        <v>материалы всего, в т.ч.:</v>
      </c>
      <c r="D85" s="911">
        <f>'Ком предл.'!E108</f>
        <v>0</v>
      </c>
      <c r="E85" s="911">
        <f>'Ком предл.'!F108</f>
        <v>0</v>
      </c>
      <c r="F85" s="911">
        <f>'Ком предл.'!G108</f>
        <v>0</v>
      </c>
      <c r="G85" s="1269">
        <f>'Ком предл.'!J108</f>
        <v>0</v>
      </c>
      <c r="H85" s="1277">
        <f t="shared" si="3"/>
        <v>0</v>
      </c>
    </row>
    <row r="86" spans="1:8" s="10" customFormat="1" ht="11.25">
      <c r="A86" s="1850"/>
      <c r="B86" s="1824"/>
      <c r="C86" s="911"/>
      <c r="D86" s="911"/>
      <c r="E86" s="911"/>
      <c r="F86" s="911"/>
      <c r="G86" s="1269"/>
      <c r="H86" s="1277"/>
    </row>
    <row r="87" spans="1:8" s="10" customFormat="1" ht="11.25">
      <c r="A87" s="1850"/>
      <c r="B87" s="1824"/>
      <c r="C87" s="911"/>
      <c r="D87" s="911"/>
      <c r="E87" s="911"/>
      <c r="F87" s="911"/>
      <c r="G87" s="1269"/>
      <c r="H87" s="1277"/>
    </row>
    <row r="88" spans="1:8" s="10" customFormat="1" ht="11.25">
      <c r="A88" s="1850"/>
      <c r="B88" s="1824"/>
      <c r="C88" s="911"/>
      <c r="D88" s="911"/>
      <c r="E88" s="911"/>
      <c r="F88" s="911"/>
      <c r="G88" s="1269"/>
      <c r="H88" s="1277"/>
    </row>
    <row r="89" spans="1:8" s="10" customFormat="1" ht="11.25">
      <c r="A89" s="1850"/>
      <c r="B89" s="1824"/>
      <c r="C89" s="911"/>
      <c r="D89" s="911"/>
      <c r="E89" s="911"/>
      <c r="F89" s="911"/>
      <c r="G89" s="1269"/>
      <c r="H89" s="1277"/>
    </row>
    <row r="90" spans="1:8" s="10" customFormat="1" ht="11.25">
      <c r="A90" s="1850"/>
      <c r="B90" s="1824"/>
      <c r="C90" s="911"/>
      <c r="D90" s="911"/>
      <c r="E90" s="911"/>
      <c r="F90" s="911"/>
      <c r="G90" s="1269"/>
      <c r="H90" s="1277"/>
    </row>
    <row r="91" spans="1:8" s="10" customFormat="1" ht="12" thickBot="1">
      <c r="A91" s="1851"/>
      <c r="B91" s="1825"/>
      <c r="C91" s="8"/>
      <c r="D91" s="12"/>
      <c r="E91" s="12"/>
      <c r="F91" s="12"/>
      <c r="G91" s="1270">
        <f>E91*F91/1000</f>
        <v>0</v>
      </c>
      <c r="H91" s="1277"/>
    </row>
    <row r="92" spans="1:8" s="10" customFormat="1" ht="14.25" customHeight="1" thickBot="1">
      <c r="A92" s="11" t="s">
        <v>302</v>
      </c>
      <c r="B92" s="1833" t="s">
        <v>419</v>
      </c>
      <c r="C92" s="1839"/>
      <c r="D92" s="1839"/>
      <c r="E92" s="1839"/>
      <c r="F92" s="1840"/>
      <c r="G92" s="1265"/>
      <c r="H92" s="1277"/>
    </row>
    <row r="93" spans="1:8" s="14" customFormat="1" ht="15" customHeight="1" thickBot="1">
      <c r="A93" s="1834" t="s">
        <v>294</v>
      </c>
      <c r="B93" s="1835"/>
      <c r="C93" s="1835"/>
      <c r="D93" s="1835"/>
      <c r="E93" s="1835"/>
      <c r="F93" s="1835"/>
      <c r="G93" s="1836"/>
      <c r="H93" s="1276"/>
    </row>
    <row r="94" spans="1:8" s="10" customFormat="1" ht="12" customHeight="1" thickBot="1">
      <c r="A94" s="1837" t="s">
        <v>303</v>
      </c>
      <c r="B94" s="1823" t="s">
        <v>420</v>
      </c>
      <c r="C94" s="1832" t="s">
        <v>418</v>
      </c>
      <c r="D94" s="1832"/>
      <c r="E94" s="1832"/>
      <c r="F94" s="1833"/>
      <c r="G94" s="1265">
        <f>SUM(G95:G110)</f>
        <v>174732.17299200004</v>
      </c>
      <c r="H94" s="1265">
        <f>SUM(H95:H110)</f>
        <v>209678.6075904</v>
      </c>
    </row>
    <row r="95" spans="1:8" s="10" customFormat="1" ht="9.75" customHeight="1">
      <c r="A95" s="1837"/>
      <c r="B95" s="1824"/>
      <c r="C95" s="911" t="str">
        <f>'Ком предл.'!C109</f>
        <v>Кабель ААшв-1 4х70</v>
      </c>
      <c r="D95" s="911" t="str">
        <f>'Ком предл.'!E109</f>
        <v>м</v>
      </c>
      <c r="E95" s="911">
        <f>'Ком предл.'!F109</f>
        <v>302</v>
      </c>
      <c r="F95" s="911">
        <f>'Ком предл.'!G109</f>
        <v>527.75881600000002</v>
      </c>
      <c r="G95" s="1269">
        <f>'Ком предл.'!J109</f>
        <v>159383.16243200001</v>
      </c>
      <c r="H95" s="1277">
        <f t="shared" ref="H95:H110" si="4">G95*1.2</f>
        <v>191259.7949184</v>
      </c>
    </row>
    <row r="96" spans="1:8" s="10" customFormat="1" ht="11.25">
      <c r="A96" s="1837"/>
      <c r="B96" s="1824"/>
      <c r="C96" s="911" t="str">
        <f>'Ком предл.'!C110</f>
        <v>Термоспекаемые ленты КЛ-50;ПТЛ-40;ТЛ-630</v>
      </c>
      <c r="D96" s="911" t="str">
        <f>'Ком предл.'!E110</f>
        <v>рулон</v>
      </c>
      <c r="E96" s="911">
        <f>'Ком предл.'!F110</f>
        <v>91</v>
      </c>
      <c r="F96" s="911">
        <f>'Ком предл.'!G110</f>
        <v>0</v>
      </c>
      <c r="G96" s="1269">
        <f>'Ком предл.'!J110</f>
        <v>0</v>
      </c>
      <c r="H96" s="1277">
        <f t="shared" si="4"/>
        <v>0</v>
      </c>
    </row>
    <row r="97" spans="1:8" s="10" customFormat="1" ht="11.25">
      <c r="A97" s="1837"/>
      <c r="B97" s="1824"/>
      <c r="C97" s="911" t="str">
        <f>'Ком предл.'!C111</f>
        <v>муфта 1KVRSJ-5/2</v>
      </c>
      <c r="D97" s="911" t="str">
        <f>'Ком предл.'!E111</f>
        <v>шт</v>
      </c>
      <c r="E97" s="911">
        <f>'Ком предл.'!F111</f>
        <v>6</v>
      </c>
      <c r="F97" s="911">
        <f>'Ком предл.'!G111</f>
        <v>0</v>
      </c>
      <c r="G97" s="1269">
        <f>'Ком предл.'!J111</f>
        <v>0</v>
      </c>
      <c r="H97" s="1277">
        <f t="shared" si="4"/>
        <v>0</v>
      </c>
    </row>
    <row r="98" spans="1:8" s="10" customFormat="1" ht="11.25">
      <c r="A98" s="1837"/>
      <c r="B98" s="1824"/>
      <c r="C98" s="911" t="str">
        <f>'Ком предл.'!C112</f>
        <v>муфта 1KVRST-5/2</v>
      </c>
      <c r="D98" s="911" t="str">
        <f>'Ком предл.'!E112</f>
        <v>шт</v>
      </c>
      <c r="E98" s="911">
        <f>'Ком предл.'!F112</f>
        <v>12</v>
      </c>
      <c r="F98" s="911">
        <f>'Ком предл.'!G112</f>
        <v>0</v>
      </c>
      <c r="G98" s="1269">
        <f>'Ком предл.'!J112</f>
        <v>0</v>
      </c>
      <c r="H98" s="1277">
        <f t="shared" si="4"/>
        <v>0</v>
      </c>
    </row>
    <row r="99" spans="1:8" s="10" customFormat="1" ht="13.5" customHeight="1">
      <c r="A99" s="1837"/>
      <c r="B99" s="1824"/>
      <c r="C99" s="911" t="str">
        <f>'Ком предл.'!C113</f>
        <v xml:space="preserve">Термоус. трубка Navigator NST 6/3 71119 </v>
      </c>
      <c r="D99" s="911" t="str">
        <f>'Ком предл.'!E113</f>
        <v>м</v>
      </c>
      <c r="E99" s="911">
        <f>'Ком предл.'!F113</f>
        <v>302</v>
      </c>
      <c r="F99" s="911">
        <f>'Ком предл.'!G113</f>
        <v>10.176400000000001</v>
      </c>
      <c r="G99" s="1269">
        <f>'Ком предл.'!J113</f>
        <v>3073.2728000000002</v>
      </c>
      <c r="H99" s="1277">
        <f t="shared" si="4"/>
        <v>3687.9273600000001</v>
      </c>
    </row>
    <row r="100" spans="1:8" s="10" customFormat="1" ht="11.25">
      <c r="A100" s="1837"/>
      <c r="B100" s="1824"/>
      <c r="C100" s="911" t="str">
        <f>'Ком предл.'!C114</f>
        <v>Наконечники Ф16</v>
      </c>
      <c r="D100" s="911" t="str">
        <f>'Ком предл.'!E114</f>
        <v>шт</v>
      </c>
      <c r="E100" s="911">
        <f>'Ком предл.'!F114</f>
        <v>68</v>
      </c>
      <c r="F100" s="911">
        <f>'Ком предл.'!G114</f>
        <v>8.2482400000000009</v>
      </c>
      <c r="G100" s="1269">
        <f>'Ком предл.'!J114</f>
        <v>560.8803200000001</v>
      </c>
      <c r="H100" s="1277">
        <f t="shared" si="4"/>
        <v>673.05638400000009</v>
      </c>
    </row>
    <row r="101" spans="1:8" s="10" customFormat="1" ht="11.25">
      <c r="A101" s="11"/>
      <c r="B101" s="1824"/>
      <c r="C101" s="911" t="str">
        <f>'Ком предл.'!C115</f>
        <v>Наконечники Ф25</v>
      </c>
      <c r="D101" s="911" t="str">
        <f>'Ком предл.'!E115</f>
        <v>шт</v>
      </c>
      <c r="E101" s="911">
        <f>'Ком предл.'!F115</f>
        <v>23</v>
      </c>
      <c r="F101" s="911">
        <f>'Ком предл.'!G115</f>
        <v>9.426560000000002</v>
      </c>
      <c r="G101" s="1269">
        <f>'Ком предл.'!J115</f>
        <v>216.81088000000005</v>
      </c>
      <c r="H101" s="1277">
        <f t="shared" si="4"/>
        <v>260.17305600000003</v>
      </c>
    </row>
    <row r="102" spans="1:8" s="10" customFormat="1" ht="11.25">
      <c r="A102" s="11"/>
      <c r="B102" s="1824"/>
      <c r="C102" s="911" t="str">
        <f>'Ком предл.'!C116</f>
        <v>Наконечники Ф35</v>
      </c>
      <c r="D102" s="911" t="str">
        <f>'Ком предл.'!E116</f>
        <v>шт</v>
      </c>
      <c r="E102" s="911">
        <f>'Ком предл.'!F116</f>
        <v>45</v>
      </c>
      <c r="F102" s="911">
        <f>'Ком предл.'!G116</f>
        <v>9.6408000000000005</v>
      </c>
      <c r="G102" s="1269">
        <f>'Ком предл.'!J116</f>
        <v>433.83600000000001</v>
      </c>
      <c r="H102" s="1277">
        <f t="shared" si="4"/>
        <v>520.60320000000002</v>
      </c>
    </row>
    <row r="103" spans="1:8" s="10" customFormat="1" ht="11.25">
      <c r="A103" s="11"/>
      <c r="B103" s="1824"/>
      <c r="C103" s="911" t="str">
        <f>'Ком предл.'!C117</f>
        <v>Наконечники Ф50</v>
      </c>
      <c r="D103" s="911" t="str">
        <f>'Ком предл.'!E117</f>
        <v>шт</v>
      </c>
      <c r="E103" s="911">
        <f>'Ком предл.'!F117</f>
        <v>45</v>
      </c>
      <c r="F103" s="911">
        <f>'Ком предл.'!G117</f>
        <v>11.997439999999999</v>
      </c>
      <c r="G103" s="1269">
        <f>'Ком предл.'!J117</f>
        <v>539.88479999999993</v>
      </c>
      <c r="H103" s="1277">
        <f t="shared" si="4"/>
        <v>647.86175999999989</v>
      </c>
    </row>
    <row r="104" spans="1:8" s="10" customFormat="1" ht="11.25">
      <c r="A104" s="11"/>
      <c r="B104" s="1824"/>
      <c r="C104" s="911" t="str">
        <f>'Ком предл.'!C118</f>
        <v>Наконечники Ф70</v>
      </c>
      <c r="D104" s="911" t="str">
        <f>'Ком предл.'!E118</f>
        <v>шт</v>
      </c>
      <c r="E104" s="911">
        <f>'Ком предл.'!F118</f>
        <v>45</v>
      </c>
      <c r="F104" s="911">
        <f>'Ком предл.'!G118</f>
        <v>15.960880000000001</v>
      </c>
      <c r="G104" s="1269">
        <f>'Ком предл.'!J118</f>
        <v>718.23960000000011</v>
      </c>
      <c r="H104" s="1277">
        <f t="shared" si="4"/>
        <v>861.88752000000011</v>
      </c>
    </row>
    <row r="105" spans="1:8" s="10" customFormat="1" ht="11.25">
      <c r="A105" s="11"/>
      <c r="B105" s="1824"/>
      <c r="C105" s="911" t="str">
        <f>'Ком предл.'!C119</f>
        <v>Наконечники Ф95</v>
      </c>
      <c r="D105" s="911" t="str">
        <f>'Ком предл.'!E119</f>
        <v>шт</v>
      </c>
      <c r="E105" s="911">
        <f>'Ком предл.'!F119</f>
        <v>41</v>
      </c>
      <c r="F105" s="911">
        <f>'Ком предл.'!G119</f>
        <v>22.923679999999997</v>
      </c>
      <c r="G105" s="1269">
        <f>'Ком предл.'!J119</f>
        <v>939.87087999999994</v>
      </c>
      <c r="H105" s="1277">
        <f t="shared" si="4"/>
        <v>1127.8450559999999</v>
      </c>
    </row>
    <row r="106" spans="1:8" s="10" customFormat="1" ht="11.25">
      <c r="A106" s="11"/>
      <c r="B106" s="1824"/>
      <c r="C106" s="911" t="str">
        <f>'Ком предл.'!C120</f>
        <v>Наконечники Ф120</v>
      </c>
      <c r="D106" s="911" t="str">
        <f>'Ком предл.'!E120</f>
        <v>шт</v>
      </c>
      <c r="E106" s="911">
        <f>'Ком предл.'!F120</f>
        <v>14</v>
      </c>
      <c r="F106" s="911">
        <f>'Ком предл.'!G120</f>
        <v>31.600400000000004</v>
      </c>
      <c r="G106" s="1269">
        <f>'Ком предл.'!J120</f>
        <v>442.40560000000005</v>
      </c>
      <c r="H106" s="1277">
        <f t="shared" si="4"/>
        <v>530.88672000000008</v>
      </c>
    </row>
    <row r="107" spans="1:8" s="10" customFormat="1" ht="11.25">
      <c r="A107" s="11"/>
      <c r="B107" s="1824"/>
      <c r="C107" s="911" t="str">
        <f>'Ком предл.'!C121</f>
        <v>Наконечники Ф150</v>
      </c>
      <c r="D107" s="911" t="str">
        <f>'Ком предл.'!E121</f>
        <v>шт</v>
      </c>
      <c r="E107" s="911">
        <f>'Ком предл.'!F121</f>
        <v>14</v>
      </c>
      <c r="F107" s="911">
        <f>'Ком предл.'!G121</f>
        <v>41.348320000000001</v>
      </c>
      <c r="G107" s="1269">
        <f>'Ком предл.'!J121</f>
        <v>578.87648000000002</v>
      </c>
      <c r="H107" s="1277">
        <f t="shared" si="4"/>
        <v>694.65177600000004</v>
      </c>
    </row>
    <row r="108" spans="1:8" s="10" customFormat="1" ht="11.25">
      <c r="A108" s="11"/>
      <c r="B108" s="1824"/>
      <c r="C108" s="911" t="str">
        <f>'Ком предл.'!C122</f>
        <v>Изолента</v>
      </c>
      <c r="D108" s="911" t="str">
        <f>'Ком предл.'!E122</f>
        <v>шт</v>
      </c>
      <c r="E108" s="911">
        <f>'Ком предл.'!F122</f>
        <v>151</v>
      </c>
      <c r="F108" s="911">
        <f>'Ком предл.'!G122</f>
        <v>51.953200000000002</v>
      </c>
      <c r="G108" s="1269">
        <f>'Ком предл.'!J122</f>
        <v>7844.9332000000004</v>
      </c>
      <c r="H108" s="1277">
        <f t="shared" si="4"/>
        <v>9413.9198400000005</v>
      </c>
    </row>
    <row r="109" spans="1:8" s="10" customFormat="1" ht="11.25">
      <c r="A109" s="11"/>
      <c r="B109" s="1824"/>
      <c r="C109" s="911" t="str">
        <f>'Ком предл.'!C123</f>
        <v>Припой ПС40</v>
      </c>
      <c r="D109" s="911" t="str">
        <f>'Ком предл.'!E123</f>
        <v>пруток</v>
      </c>
      <c r="E109" s="911">
        <f>'Ком предл.'!F123</f>
        <v>23</v>
      </c>
      <c r="F109" s="911">
        <f>'Ком предл.'!G123</f>
        <v>0</v>
      </c>
      <c r="G109" s="1269">
        <f>'Ком предл.'!J123</f>
        <v>0</v>
      </c>
      <c r="H109" s="1277">
        <f t="shared" si="4"/>
        <v>0</v>
      </c>
    </row>
    <row r="110" spans="1:8" s="10" customFormat="1" ht="11.25">
      <c r="A110" s="11"/>
      <c r="B110" s="1824"/>
      <c r="C110" s="911" t="str">
        <f>'Ком предл.'!C124</f>
        <v>Припой для пайки алюминия  П150А, П250А, П300А</v>
      </c>
      <c r="D110" s="911" t="str">
        <f>'Ком предл.'!E124</f>
        <v>пруток</v>
      </c>
      <c r="E110" s="911">
        <f>'Ком предл.'!F124</f>
        <v>15</v>
      </c>
      <c r="F110" s="911">
        <f>'Ком предл.'!G124</f>
        <v>0</v>
      </c>
      <c r="G110" s="1269">
        <f>'Ком предл.'!J124</f>
        <v>0</v>
      </c>
      <c r="H110" s="1277">
        <f t="shared" si="4"/>
        <v>0</v>
      </c>
    </row>
    <row r="111" spans="1:8" s="10" customFormat="1" ht="12" thickBot="1">
      <c r="A111" s="11"/>
      <c r="B111" s="1825"/>
      <c r="C111" s="911">
        <f>'Ком предл.'!C125</f>
        <v>0</v>
      </c>
      <c r="D111" s="911">
        <f>'Ком предл.'!E125</f>
        <v>0</v>
      </c>
      <c r="E111" s="911">
        <f>'Ком предл.'!F125</f>
        <v>0</v>
      </c>
      <c r="F111" s="911">
        <f>'Ком предл.'!G125</f>
        <v>0</v>
      </c>
      <c r="G111" s="1269">
        <f>'Ком предл.'!J125</f>
        <v>0</v>
      </c>
      <c r="H111" s="1277"/>
    </row>
    <row r="112" spans="1:8" s="10" customFormat="1" ht="14.25" customHeight="1" thickBot="1">
      <c r="A112" s="11" t="s">
        <v>304</v>
      </c>
      <c r="B112" s="1833" t="s">
        <v>419</v>
      </c>
      <c r="C112" s="1839"/>
      <c r="D112" s="1839"/>
      <c r="E112" s="1839"/>
      <c r="F112" s="1840"/>
      <c r="G112" s="1265"/>
      <c r="H112" s="1277"/>
    </row>
    <row r="113" spans="1:14" s="15" customFormat="1" ht="10.5" customHeight="1" thickBot="1">
      <c r="A113" s="1834" t="s">
        <v>299</v>
      </c>
      <c r="B113" s="1835"/>
      <c r="C113" s="1835"/>
      <c r="D113" s="1835"/>
      <c r="E113" s="1835"/>
      <c r="F113" s="1835"/>
      <c r="G113" s="1836"/>
      <c r="H113" s="1276"/>
    </row>
    <row r="114" spans="1:14" s="10" customFormat="1" ht="12" customHeight="1" thickBot="1">
      <c r="A114" s="1837" t="s">
        <v>305</v>
      </c>
      <c r="B114" s="1838" t="s">
        <v>420</v>
      </c>
      <c r="C114" s="1832" t="s">
        <v>418</v>
      </c>
      <c r="D114" s="1832"/>
      <c r="E114" s="1832"/>
      <c r="F114" s="1833"/>
      <c r="G114" s="1265">
        <f>SUM(G115:G134)</f>
        <v>2382701.4069039999</v>
      </c>
      <c r="H114" s="1265">
        <f>SUM(H115:H134)</f>
        <v>2859241.6882848004</v>
      </c>
      <c r="J114" s="10">
        <f>171.414+580.891+289.481+171.414</f>
        <v>1213.2</v>
      </c>
    </row>
    <row r="115" spans="1:14" s="10" customFormat="1" ht="12" customHeight="1">
      <c r="A115" s="1837"/>
      <c r="B115" s="1838"/>
      <c r="C115" s="911" t="str">
        <f>'Ком предл.'!C129</f>
        <v>Масло трансформаторное 1 бочка-206л</v>
      </c>
      <c r="D115" s="911" t="str">
        <f>'Ком предл.'!E129</f>
        <v>бочка</v>
      </c>
      <c r="E115" s="911">
        <f>'Ком предл.'!F129</f>
        <v>3</v>
      </c>
      <c r="F115" s="911">
        <f>'Ком предл.'!G129</f>
        <v>31243.333333333369</v>
      </c>
      <c r="G115" s="1269">
        <f>'Ком предл.'!J129</f>
        <v>93730.000000000102</v>
      </c>
      <c r="H115" s="1277">
        <f t="shared" ref="H115:H134" si="5">G115*1.2</f>
        <v>112476.00000000012</v>
      </c>
    </row>
    <row r="116" spans="1:14" s="10" customFormat="1" ht="11.25">
      <c r="A116" s="1837"/>
      <c r="B116" s="1838"/>
      <c r="C116" s="911" t="str">
        <f>'Ком предл.'!C130</f>
        <v xml:space="preserve">Трансформатор ТМ160-400кВА 10/0,4кВ </v>
      </c>
      <c r="D116" s="911" t="str">
        <f>'Ком предл.'!E130</f>
        <v>шт</v>
      </c>
      <c r="E116" s="911">
        <f>'Ком предл.'!F130</f>
        <v>3</v>
      </c>
      <c r="F116" s="911">
        <f>'Ком предл.'!G130</f>
        <v>255320.52000000002</v>
      </c>
      <c r="G116" s="1269">
        <f>'Ком предл.'!J130</f>
        <v>765961.56</v>
      </c>
      <c r="H116" s="1277">
        <f t="shared" si="5"/>
        <v>919153.87200000009</v>
      </c>
      <c r="I116" s="1819"/>
      <c r="J116" s="1819"/>
      <c r="K116" s="1819"/>
      <c r="L116" s="1819"/>
      <c r="M116" s="1819"/>
      <c r="N116" s="1819"/>
    </row>
    <row r="117" spans="1:14" s="10" customFormat="1" ht="11.25">
      <c r="A117" s="1837"/>
      <c r="B117" s="1838"/>
      <c r="C117" s="911" t="str">
        <f>'Ком предл.'!C131</f>
        <v>Выключатель вакуумный ВВЭ-М-10-2  ВВР 10-20</v>
      </c>
      <c r="D117" s="911" t="str">
        <f>'Ком предл.'!E131</f>
        <v>шт</v>
      </c>
      <c r="E117" s="911">
        <f>'Ком предл.'!F131</f>
        <v>2</v>
      </c>
      <c r="F117" s="911">
        <f>'Ком предл.'!G131</f>
        <v>156663</v>
      </c>
      <c r="G117" s="1269">
        <f>'Ком предл.'!J131</f>
        <v>313326</v>
      </c>
      <c r="H117" s="1277">
        <f t="shared" si="5"/>
        <v>375991.2</v>
      </c>
      <c r="I117" s="10" t="s">
        <v>1041</v>
      </c>
    </row>
    <row r="118" spans="1:14" s="10" customFormat="1" ht="11.25">
      <c r="A118" s="1837"/>
      <c r="B118" s="1838"/>
      <c r="C118" s="911" t="str">
        <f>'Ком предл.'!C132</f>
        <v>Привод пружинный для ВВЭ-М-10-20</v>
      </c>
      <c r="D118" s="911" t="str">
        <f>'Ком предл.'!E132</f>
        <v>шт</v>
      </c>
      <c r="E118" s="911">
        <f>'Ком предл.'!F132</f>
        <v>2</v>
      </c>
      <c r="F118" s="911">
        <f>'Ком предл.'!G132</f>
        <v>0</v>
      </c>
      <c r="G118" s="1269">
        <f>'Ком предл.'!J132</f>
        <v>0</v>
      </c>
      <c r="H118" s="1277">
        <f t="shared" si="5"/>
        <v>0</v>
      </c>
    </row>
    <row r="119" spans="1:14" s="10" customFormat="1" ht="13.5" customHeight="1">
      <c r="A119" s="1837"/>
      <c r="B119" s="1838"/>
      <c r="C119" s="911" t="str">
        <f>'Ком предл.'!C133</f>
        <v>Ограничитель ОПН-Ф-10/12</v>
      </c>
      <c r="D119" s="911" t="str">
        <f>'Ком предл.'!E133</f>
        <v>шт</v>
      </c>
      <c r="E119" s="911">
        <f>'Ком предл.'!F133</f>
        <v>7</v>
      </c>
      <c r="F119" s="911">
        <f>'Ком предл.'!G133</f>
        <v>0</v>
      </c>
      <c r="G119" s="1269">
        <f>'Ком предл.'!J133</f>
        <v>0</v>
      </c>
      <c r="H119" s="1277">
        <f t="shared" si="5"/>
        <v>0</v>
      </c>
    </row>
    <row r="120" spans="1:14" s="10" customFormat="1" ht="11.25">
      <c r="A120" s="1837"/>
      <c r="B120" s="1838"/>
      <c r="C120" s="911" t="str">
        <f>'Ком предл.'!C134</f>
        <v>Плавкая вставка ПН-2 100А</v>
      </c>
      <c r="D120" s="911" t="str">
        <f>'Ком предл.'!E134</f>
        <v>шт</v>
      </c>
      <c r="E120" s="911">
        <f>'Ком предл.'!F134</f>
        <v>249</v>
      </c>
      <c r="F120" s="911">
        <f>'Ком предл.'!G134</f>
        <v>64.272000000000006</v>
      </c>
      <c r="G120" s="1269">
        <f>'Ком предл.'!J134</f>
        <v>16003.728000000001</v>
      </c>
      <c r="H120" s="1277">
        <f t="shared" si="5"/>
        <v>19204.473600000001</v>
      </c>
    </row>
    <row r="121" spans="1:14" s="10" customFormat="1" ht="11.25">
      <c r="A121" s="11"/>
      <c r="B121" s="8"/>
      <c r="C121" s="911" t="str">
        <f>'Ком предл.'!C135</f>
        <v>Плавкая вставка ПН-2 250А</v>
      </c>
      <c r="D121" s="911" t="str">
        <f>'Ком предл.'!E135</f>
        <v>шт</v>
      </c>
      <c r="E121" s="911">
        <f>'Ком предл.'!F135</f>
        <v>158</v>
      </c>
      <c r="F121" s="911">
        <f>'Ком предл.'!G135</f>
        <v>89.370216000000013</v>
      </c>
      <c r="G121" s="1269">
        <f>'Ком предл.'!J135</f>
        <v>14120.494128000002</v>
      </c>
      <c r="H121" s="1277">
        <f t="shared" si="5"/>
        <v>16944.5929536</v>
      </c>
    </row>
    <row r="122" spans="1:14" s="10" customFormat="1" ht="11.25">
      <c r="A122" s="11"/>
      <c r="B122" s="8"/>
      <c r="C122" s="911" t="str">
        <f>'Ком предл.'!C136</f>
        <v>Плавкая вставка ПН-2 400А</v>
      </c>
      <c r="D122" s="911" t="str">
        <f>'Ком предл.'!E136</f>
        <v>шт</v>
      </c>
      <c r="E122" s="911">
        <f>'Ком предл.'!F136</f>
        <v>158</v>
      </c>
      <c r="F122" s="911">
        <f>'Ком предл.'!G136</f>
        <v>156.63086400000003</v>
      </c>
      <c r="G122" s="1269">
        <f>'Ком предл.'!J136</f>
        <v>24747.676512000005</v>
      </c>
      <c r="H122" s="1277">
        <f t="shared" si="5"/>
        <v>29697.211814400005</v>
      </c>
    </row>
    <row r="123" spans="1:14" s="10" customFormat="1" ht="11.25">
      <c r="A123" s="11"/>
      <c r="B123" s="8"/>
      <c r="C123" s="911" t="str">
        <f>'Ком предл.'!C137</f>
        <v>Предохранитель ПКТ-10</v>
      </c>
      <c r="D123" s="911" t="str">
        <f>'Ком предл.'!E137</f>
        <v>шт</v>
      </c>
      <c r="E123" s="911">
        <f>'Ком предл.'!F137</f>
        <v>136</v>
      </c>
      <c r="F123" s="911">
        <f>'Ком предл.'!G137</f>
        <v>0</v>
      </c>
      <c r="G123" s="1269">
        <f>'Ком предл.'!J137</f>
        <v>0</v>
      </c>
      <c r="H123" s="1277">
        <f t="shared" si="5"/>
        <v>0</v>
      </c>
    </row>
    <row r="124" spans="1:14" s="10" customFormat="1" ht="11.25">
      <c r="A124" s="11"/>
      <c r="B124" s="8"/>
      <c r="C124" s="911" t="str">
        <f>'Ком предл.'!C138</f>
        <v>Изолятор опорный ИО-1-2,5 У, Т3</v>
      </c>
      <c r="D124" s="911" t="str">
        <f>'Ком предл.'!E138</f>
        <v>шт</v>
      </c>
      <c r="E124" s="911">
        <f>'Ком предл.'!F138</f>
        <v>36</v>
      </c>
      <c r="F124" s="911">
        <f>'Ком предл.'!G138</f>
        <v>133.9</v>
      </c>
      <c r="G124" s="1269">
        <f>'Ком предл.'!J138</f>
        <v>4820.4000000000005</v>
      </c>
      <c r="H124" s="1277">
        <f t="shared" ref="H124:H129" si="6">G124*1.2</f>
        <v>5784.4800000000005</v>
      </c>
    </row>
    <row r="125" spans="1:14" s="10" customFormat="1" ht="11.25">
      <c r="A125" s="11"/>
      <c r="B125" s="8"/>
      <c r="C125" s="911" t="str">
        <f>'Ком предл.'!C139</f>
        <v>Изолятор опорный ИО-10-3,75 II У3 (исп.1)</v>
      </c>
      <c r="D125" s="911" t="str">
        <f>'Ком предл.'!E139</f>
        <v>шт</v>
      </c>
      <c r="E125" s="911">
        <f>'Ком предл.'!F139</f>
        <v>51</v>
      </c>
      <c r="F125" s="911">
        <f>'Ком предл.'!G139</f>
        <v>167.375</v>
      </c>
      <c r="G125" s="1269">
        <f>'Ком предл.'!J139</f>
        <v>8536.125</v>
      </c>
      <c r="H125" s="1277">
        <f t="shared" si="6"/>
        <v>10243.35</v>
      </c>
    </row>
    <row r="126" spans="1:14" s="10" customFormat="1" ht="11.25">
      <c r="A126" s="11"/>
      <c r="B126" s="8"/>
      <c r="C126" s="911" t="str">
        <f>'Ком предл.'!C140</f>
        <v>Изолятор проходной ИП-10/630-7,5 УХЛ2</v>
      </c>
      <c r="D126" s="911" t="str">
        <f>'Ком предл.'!E140</f>
        <v>шт</v>
      </c>
      <c r="E126" s="911">
        <f>'Ком предл.'!F140</f>
        <v>46</v>
      </c>
      <c r="F126" s="911">
        <f>'Ком предл.'!G140</f>
        <v>1207.2424000000001</v>
      </c>
      <c r="G126" s="1269">
        <f>'Ком предл.'!J140</f>
        <v>55533.150400000006</v>
      </c>
      <c r="H126" s="1277">
        <f t="shared" si="6"/>
        <v>66639.780480000001</v>
      </c>
    </row>
    <row r="127" spans="1:14" s="10" customFormat="1" ht="11.25">
      <c r="A127" s="11"/>
      <c r="B127" s="8"/>
      <c r="C127" s="911" t="str">
        <f>'Ком предл.'!C141</f>
        <v>Изолятор проходной ИПУ-10/630-7,5 УХЛ1</v>
      </c>
      <c r="D127" s="911" t="str">
        <f>'Ком предл.'!E141</f>
        <v>шт</v>
      </c>
      <c r="E127" s="911">
        <f>'Ком предл.'!F141</f>
        <v>19</v>
      </c>
      <c r="F127" s="911">
        <f>'Ком предл.'!G141</f>
        <v>1247.3909760000001</v>
      </c>
      <c r="G127" s="1269">
        <f>'Ком предл.'!J141</f>
        <v>23700.428544000002</v>
      </c>
      <c r="H127" s="1277">
        <f t="shared" si="6"/>
        <v>28440.514252800003</v>
      </c>
    </row>
    <row r="128" spans="1:14" s="10" customFormat="1" ht="11.25">
      <c r="A128" s="11"/>
      <c r="B128" s="8"/>
      <c r="C128" s="911" t="str">
        <f>'Ком предл.'!C142</f>
        <v>Разрядник РВН-0,5</v>
      </c>
      <c r="D128" s="911" t="str">
        <f>'Ком предл.'!E142</f>
        <v>шт</v>
      </c>
      <c r="E128" s="911">
        <f>'Ком предл.'!F142</f>
        <v>124</v>
      </c>
      <c r="F128" s="911">
        <f>'Ком предл.'!G142</f>
        <v>334.75</v>
      </c>
      <c r="G128" s="1269">
        <f>'Ком предл.'!J142</f>
        <v>41509</v>
      </c>
      <c r="H128" s="1277">
        <f t="shared" si="6"/>
        <v>49810.799999999996</v>
      </c>
    </row>
    <row r="129" spans="1:8" s="10" customFormat="1" ht="11.25">
      <c r="A129" s="11"/>
      <c r="B129" s="8"/>
      <c r="C129" s="911" t="str">
        <f>'Ком предл.'!C143</f>
        <v>Выкл.нагрузки ВНР-10/400</v>
      </c>
      <c r="D129" s="911" t="str">
        <f>'Ком предл.'!E143</f>
        <v>шт</v>
      </c>
      <c r="E129" s="911">
        <f>'Ком предл.'!F143</f>
        <v>15</v>
      </c>
      <c r="F129" s="911">
        <f>'Ком предл.'!G143</f>
        <v>19348.55</v>
      </c>
      <c r="G129" s="1269">
        <f>'Ком предл.'!J143</f>
        <v>290228.25</v>
      </c>
      <c r="H129" s="1277">
        <f t="shared" si="6"/>
        <v>348273.89999999997</v>
      </c>
    </row>
    <row r="130" spans="1:8" s="10" customFormat="1" ht="11.25">
      <c r="A130" s="11"/>
      <c r="B130" s="8"/>
      <c r="C130" s="911" t="str">
        <f>'Ком предл.'!C144</f>
        <v>ЩО70-1-09АУ3</v>
      </c>
      <c r="D130" s="911" t="str">
        <f>'Ком предл.'!E144</f>
        <v>шт</v>
      </c>
      <c r="E130" s="911">
        <f>'Ком предл.'!F144</f>
        <v>1</v>
      </c>
      <c r="F130" s="911">
        <f>'Ком предл.'!G144</f>
        <v>75055.020560000004</v>
      </c>
      <c r="G130" s="1269">
        <f>'Ком предл.'!J144</f>
        <v>75055.020560000004</v>
      </c>
      <c r="H130" s="1277">
        <f t="shared" si="5"/>
        <v>90066.024672</v>
      </c>
    </row>
    <row r="131" spans="1:8" s="10" customFormat="1" ht="11.25">
      <c r="A131" s="11"/>
      <c r="B131" s="8"/>
      <c r="C131" s="911" t="str">
        <f>'Ком предл.'!C145</f>
        <v>ЩО70-1-07У3</v>
      </c>
      <c r="D131" s="911" t="str">
        <f>'Ком предл.'!E145</f>
        <v>шт</v>
      </c>
      <c r="E131" s="911">
        <f>'Ком предл.'!F145</f>
        <v>11</v>
      </c>
      <c r="F131" s="911">
        <f>'Ком предл.'!G145</f>
        <v>59546.722560000009</v>
      </c>
      <c r="G131" s="1269">
        <f>'Ком предл.'!J145</f>
        <v>655013.94816000015</v>
      </c>
      <c r="H131" s="1277">
        <f t="shared" si="5"/>
        <v>786016.73779200017</v>
      </c>
    </row>
    <row r="132" spans="1:8" s="10" customFormat="1" ht="11.25">
      <c r="A132" s="11"/>
      <c r="B132" s="8"/>
      <c r="C132" s="911" t="str">
        <f>'Ком предл.'!C146</f>
        <v>Изолента</v>
      </c>
      <c r="D132" s="911" t="str">
        <f>'Ком предл.'!E146</f>
        <v>шт</v>
      </c>
      <c r="E132" s="911">
        <f>'Ком предл.'!F146</f>
        <v>8</v>
      </c>
      <c r="F132" s="911">
        <f>'Ком предл.'!G146</f>
        <v>51.953200000000002</v>
      </c>
      <c r="G132" s="1269">
        <f>'Ком предл.'!J146</f>
        <v>415.62560000000002</v>
      </c>
      <c r="H132" s="1277">
        <f t="shared" si="5"/>
        <v>498.75072</v>
      </c>
    </row>
    <row r="133" spans="1:8" s="10" customFormat="1" ht="11.25">
      <c r="A133" s="11"/>
      <c r="B133" s="8"/>
      <c r="C133" s="911" t="str">
        <f>'Ком предл.'!C147</f>
        <v>Припой ПС40</v>
      </c>
      <c r="D133" s="911" t="str">
        <f>'Ком предл.'!E147</f>
        <v>пруток</v>
      </c>
      <c r="E133" s="911">
        <f>'Ком предл.'!F147</f>
        <v>23</v>
      </c>
      <c r="F133" s="911">
        <f>'Ком предл.'!G147</f>
        <v>0</v>
      </c>
      <c r="G133" s="1269">
        <f>'Ком предл.'!J147</f>
        <v>0</v>
      </c>
      <c r="H133" s="1277">
        <f t="shared" si="5"/>
        <v>0</v>
      </c>
    </row>
    <row r="134" spans="1:8" s="10" customFormat="1" ht="18.75" customHeight="1">
      <c r="A134" s="11"/>
      <c r="B134" s="8"/>
      <c r="C134" s="911" t="str">
        <f>'Ком предл.'!C148</f>
        <v>Припой для пайки алюминия  П150А, П250А, П300А</v>
      </c>
      <c r="D134" s="911" t="str">
        <f>'Ком предл.'!E148</f>
        <v>пруток</v>
      </c>
      <c r="E134" s="911">
        <f>'Ком предл.'!F148</f>
        <v>15</v>
      </c>
      <c r="F134" s="911">
        <f>'Ком предл.'!G148</f>
        <v>0</v>
      </c>
      <c r="G134" s="1269">
        <f>'Ком предл.'!J148</f>
        <v>0</v>
      </c>
      <c r="H134" s="1277">
        <f t="shared" si="5"/>
        <v>0</v>
      </c>
    </row>
    <row r="135" spans="1:8" s="10" customFormat="1" ht="13.5" thickBot="1">
      <c r="A135" s="11"/>
      <c r="B135" s="8"/>
      <c r="C135" s="8"/>
      <c r="D135" s="12"/>
      <c r="E135" s="12"/>
      <c r="F135" s="12"/>
      <c r="G135" s="1271"/>
      <c r="H135" s="1277"/>
    </row>
    <row r="136" spans="1:8" s="10" customFormat="1" ht="14.25" customHeight="1" thickBot="1">
      <c r="A136" s="11" t="s">
        <v>306</v>
      </c>
      <c r="B136" s="1833" t="s">
        <v>419</v>
      </c>
      <c r="C136" s="1839"/>
      <c r="D136" s="1839"/>
      <c r="E136" s="1839"/>
      <c r="F136" s="1840"/>
      <c r="G136" s="1265"/>
      <c r="H136" s="1277"/>
    </row>
    <row r="137" spans="1:8" s="15" customFormat="1" ht="10.5" customHeight="1" thickBot="1">
      <c r="A137" s="1834" t="s">
        <v>300</v>
      </c>
      <c r="B137" s="1835"/>
      <c r="C137" s="1835"/>
      <c r="D137" s="1835"/>
      <c r="E137" s="1835"/>
      <c r="F137" s="1835"/>
      <c r="G137" s="1836"/>
      <c r="H137" s="1276"/>
    </row>
    <row r="138" spans="1:8" s="10" customFormat="1" ht="12" customHeight="1" thickBot="1">
      <c r="A138" s="1837" t="s">
        <v>307</v>
      </c>
      <c r="B138" s="1838" t="s">
        <v>420</v>
      </c>
      <c r="C138" s="1832" t="s">
        <v>418</v>
      </c>
      <c r="D138" s="1832"/>
      <c r="E138" s="1832"/>
      <c r="F138" s="1833"/>
      <c r="G138" s="1265">
        <f>SUM(G139:G145)</f>
        <v>6327109.4700000007</v>
      </c>
      <c r="H138" s="1265">
        <f>SUM(H139:H145)</f>
        <v>7592531.3639999991</v>
      </c>
    </row>
    <row r="139" spans="1:8" s="10" customFormat="1" ht="11.25">
      <c r="A139" s="1837"/>
      <c r="B139" s="1838"/>
      <c r="C139" s="910" t="s">
        <v>1180</v>
      </c>
      <c r="D139" s="8" t="s">
        <v>1098</v>
      </c>
      <c r="E139" s="1620">
        <v>0</v>
      </c>
      <c r="F139" s="8">
        <v>813.6</v>
      </c>
      <c r="G139" s="1270">
        <f t="shared" ref="G139:G142" si="7">E139*F139/1000</f>
        <v>0</v>
      </c>
      <c r="H139" s="1277">
        <f t="shared" ref="H139:H143" si="8">G139*1.2</f>
        <v>0</v>
      </c>
    </row>
    <row r="140" spans="1:8" s="10" customFormat="1" ht="11.25">
      <c r="A140" s="1837"/>
      <c r="B140" s="1838"/>
      <c r="C140" s="910" t="s">
        <v>1181</v>
      </c>
      <c r="D140" s="8" t="s">
        <v>1182</v>
      </c>
      <c r="E140" s="1620">
        <v>0</v>
      </c>
      <c r="F140" s="918">
        <v>286</v>
      </c>
      <c r="G140" s="1270">
        <f t="shared" si="7"/>
        <v>0</v>
      </c>
      <c r="H140" s="1277">
        <f t="shared" si="8"/>
        <v>0</v>
      </c>
    </row>
    <row r="141" spans="1:8" s="10" customFormat="1" ht="11.25">
      <c r="A141" s="1837"/>
      <c r="B141" s="1838"/>
      <c r="C141" s="910" t="s">
        <v>1183</v>
      </c>
      <c r="D141" s="8" t="s">
        <v>683</v>
      </c>
      <c r="E141" s="1620">
        <v>0</v>
      </c>
      <c r="F141" s="918">
        <v>8.4</v>
      </c>
      <c r="G141" s="1270">
        <f t="shared" si="7"/>
        <v>0</v>
      </c>
      <c r="H141" s="1277">
        <f t="shared" si="8"/>
        <v>0</v>
      </c>
    </row>
    <row r="142" spans="1:8" s="10" customFormat="1" ht="11.25">
      <c r="A142" s="1837"/>
      <c r="B142" s="1838"/>
      <c r="C142" s="910" t="s">
        <v>1184</v>
      </c>
      <c r="D142" s="8" t="s">
        <v>1185</v>
      </c>
      <c r="E142" s="1620">
        <v>0</v>
      </c>
      <c r="F142" s="918">
        <v>220.00000000000003</v>
      </c>
      <c r="G142" s="1270">
        <f t="shared" si="7"/>
        <v>0</v>
      </c>
      <c r="H142" s="1277">
        <f t="shared" si="8"/>
        <v>0</v>
      </c>
    </row>
    <row r="143" spans="1:8" s="1609" customFormat="1" ht="22.5">
      <c r="A143" s="1837"/>
      <c r="B143" s="1838"/>
      <c r="C143" s="1619" t="str">
        <f>'Ком предл.'!C92</f>
        <v>Счетчик электроэнергии однофазный со встроенным радиомодулем LoRaWAN Меркурий 208 ART2-02 (D)POHWF04</v>
      </c>
      <c r="D143" s="911" t="str">
        <f>'Ком предл.'!E92</f>
        <v>шт</v>
      </c>
      <c r="E143" s="1620">
        <v>6</v>
      </c>
      <c r="F143" s="1610">
        <f>'Ком предл.'!G92</f>
        <v>11525.43</v>
      </c>
      <c r="G143" s="1270">
        <f>'Ком предл.'!J92</f>
        <v>5635935.2700000005</v>
      </c>
      <c r="H143" s="1277">
        <f t="shared" si="8"/>
        <v>6763122.324</v>
      </c>
    </row>
    <row r="144" spans="1:8" s="10" customFormat="1" ht="21.75" customHeight="1">
      <c r="A144" s="1837"/>
      <c r="B144" s="1838"/>
      <c r="C144" s="1619" t="str">
        <f>'Ком предл.'!C93</f>
        <v>Счетчик электроэнергии трехфазный со встроенным радиомодулем LoRaWAN Меркурий 234 ARTM2-03 (D)PBRF04</v>
      </c>
      <c r="D144" s="911" t="str">
        <f>'Ком предл.'!E92</f>
        <v>шт</v>
      </c>
      <c r="E144" s="1620">
        <f>'Ком предл.'!F92</f>
        <v>489</v>
      </c>
      <c r="F144" s="1612">
        <f>'Ком предл.'!G93</f>
        <v>14914.58</v>
      </c>
      <c r="G144" s="1270">
        <f>'Ком предл.'!J93</f>
        <v>626412.36</v>
      </c>
      <c r="H144" s="1277">
        <f>G144*1.2</f>
        <v>751694.83199999994</v>
      </c>
    </row>
    <row r="145" spans="1:10" s="10" customFormat="1" ht="22.5" customHeight="1" thickBot="1">
      <c r="A145" s="1837"/>
      <c r="B145" s="1838"/>
      <c r="C145" s="1619" t="str">
        <f>'Ком предл.'!C94</f>
        <v xml:space="preserve">Счетчик электроэнергии трехфазный со встроенным радиомоду-лем LoRaWAN  Меркурий 238 АRT2-02 (D)POWF04
</v>
      </c>
      <c r="D145" s="911" t="str">
        <f>'Ком предл.'!E93</f>
        <v>шт</v>
      </c>
      <c r="E145" s="1620">
        <v>42</v>
      </c>
      <c r="F145" s="1612">
        <f>'Ком предл.'!G94</f>
        <v>10793.64</v>
      </c>
      <c r="G145" s="1270">
        <f>'Ком предл.'!J94</f>
        <v>64761.84</v>
      </c>
      <c r="H145" s="1277">
        <f t="shared" ref="H145" si="9">G145*1.2</f>
        <v>77714.207999999999</v>
      </c>
    </row>
    <row r="146" spans="1:10" s="10" customFormat="1" ht="14.25" customHeight="1" thickBot="1">
      <c r="A146" s="11" t="s">
        <v>308</v>
      </c>
      <c r="B146" s="1833" t="s">
        <v>419</v>
      </c>
      <c r="C146" s="1839"/>
      <c r="D146" s="1839"/>
      <c r="E146" s="1839"/>
      <c r="F146" s="1840"/>
      <c r="G146" s="1265"/>
      <c r="H146" s="1277"/>
    </row>
    <row r="147" spans="1:10" s="10" customFormat="1" ht="14.25" customHeight="1" thickBot="1">
      <c r="A147" s="100"/>
      <c r="B147" s="101"/>
      <c r="C147" s="101"/>
      <c r="D147" s="101"/>
      <c r="E147" s="101"/>
      <c r="F147" s="101"/>
      <c r="G147" s="1272"/>
      <c r="H147" s="1277"/>
    </row>
    <row r="148" spans="1:10" s="10" customFormat="1" ht="12" customHeight="1" thickBot="1">
      <c r="A148" s="1823"/>
      <c r="B148" s="1826" t="s">
        <v>263</v>
      </c>
      <c r="C148" s="1829" t="s">
        <v>265</v>
      </c>
      <c r="D148" s="1830"/>
      <c r="E148" s="1830"/>
      <c r="F148" s="1831"/>
      <c r="G148" s="1265">
        <f>G138+G114+G94+G80+G35+G6</f>
        <v>12641252.547527999</v>
      </c>
      <c r="H148" s="1265">
        <f>H138+H114+H94+H80+H35+H6</f>
        <v>15169503.057033598</v>
      </c>
      <c r="J148" s="10">
        <f>J6+J35+J80+J114</f>
        <v>3193.5002500000001</v>
      </c>
    </row>
    <row r="149" spans="1:10" s="10" customFormat="1" ht="12" thickBot="1">
      <c r="A149" s="1824"/>
      <c r="B149" s="1827"/>
      <c r="C149" s="1843" t="s">
        <v>259</v>
      </c>
      <c r="D149" s="1844"/>
      <c r="E149" s="1844"/>
      <c r="F149" s="1844"/>
      <c r="G149" s="1273"/>
      <c r="H149" s="1277"/>
    </row>
    <row r="150" spans="1:10" s="10" customFormat="1" ht="12" thickBot="1">
      <c r="A150" s="1824"/>
      <c r="B150" s="1827"/>
      <c r="C150" s="1845" t="s">
        <v>421</v>
      </c>
      <c r="D150" s="1845"/>
      <c r="E150" s="1845"/>
      <c r="F150" s="1843"/>
      <c r="G150" s="1265"/>
      <c r="H150" s="1277"/>
    </row>
    <row r="151" spans="1:10" ht="12" customHeight="1" thickBot="1">
      <c r="A151" s="1825"/>
      <c r="B151" s="1828"/>
      <c r="C151" s="1845" t="s">
        <v>422</v>
      </c>
      <c r="D151" s="1845"/>
      <c r="E151" s="1845"/>
      <c r="F151" s="1843"/>
      <c r="G151" s="1274"/>
    </row>
    <row r="152" spans="1:10" ht="12" customHeight="1">
      <c r="A152" s="9"/>
      <c r="B152" s="102"/>
      <c r="C152" s="7"/>
      <c r="D152" s="7"/>
      <c r="E152" s="7"/>
      <c r="F152" s="7"/>
      <c r="G152" s="1275"/>
    </row>
    <row r="153" spans="1:10" ht="15" customHeight="1">
      <c r="A153" s="1841" t="s">
        <v>309</v>
      </c>
      <c r="B153" s="1841"/>
      <c r="C153" s="1841"/>
      <c r="D153" s="1841"/>
      <c r="E153" s="1841"/>
      <c r="F153" s="1841"/>
      <c r="G153" s="1841"/>
    </row>
  </sheetData>
  <mergeCells count="38">
    <mergeCell ref="B35:B77"/>
    <mergeCell ref="C94:F94"/>
    <mergeCell ref="A93:G93"/>
    <mergeCell ref="A79:G79"/>
    <mergeCell ref="A113:G113"/>
    <mergeCell ref="A80:A91"/>
    <mergeCell ref="A153:G153"/>
    <mergeCell ref="A34:G34"/>
    <mergeCell ref="C149:F149"/>
    <mergeCell ref="C150:F150"/>
    <mergeCell ref="B78:F78"/>
    <mergeCell ref="C80:F80"/>
    <mergeCell ref="B114:B120"/>
    <mergeCell ref="C151:F151"/>
    <mergeCell ref="B94:B111"/>
    <mergeCell ref="B136:F136"/>
    <mergeCell ref="A35:A41"/>
    <mergeCell ref="C35:F35"/>
    <mergeCell ref="A94:A100"/>
    <mergeCell ref="B112:F112"/>
    <mergeCell ref="B92:F92"/>
    <mergeCell ref="C114:F114"/>
    <mergeCell ref="I116:N116"/>
    <mergeCell ref="A5:G5"/>
    <mergeCell ref="B80:B91"/>
    <mergeCell ref="A148:A151"/>
    <mergeCell ref="B148:B151"/>
    <mergeCell ref="C148:F148"/>
    <mergeCell ref="B33:F33"/>
    <mergeCell ref="A137:G137"/>
    <mergeCell ref="A138:A145"/>
    <mergeCell ref="B138:B145"/>
    <mergeCell ref="C138:F138"/>
    <mergeCell ref="B146:F146"/>
    <mergeCell ref="A114:A120"/>
    <mergeCell ref="C6:F6"/>
    <mergeCell ref="A6:A32"/>
    <mergeCell ref="B6:B32"/>
  </mergeCells>
  <phoneticPr fontId="7" type="noConversion"/>
  <pageMargins left="0.59055118110236227" right="0.39370078740157483" top="0.78740157480314965" bottom="0.78740157480314965" header="0.51181102362204722" footer="0.51181102362204722"/>
  <pageSetup paperSize="9" scale="6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6:P165"/>
  <sheetViews>
    <sheetView topLeftCell="A76" workbookViewId="0">
      <selection activeCell="L98" sqref="L98"/>
    </sheetView>
  </sheetViews>
  <sheetFormatPr defaultRowHeight="15"/>
  <cols>
    <col min="1" max="1" width="4.5703125" style="1500" customWidth="1"/>
    <col min="2" max="2" width="9.140625" style="1121"/>
    <col min="3" max="3" width="49" style="1121" customWidth="1"/>
    <col min="4" max="4" width="9.7109375" style="1224" customWidth="1"/>
    <col min="5" max="5" width="13.85546875" style="1121" customWidth="1"/>
    <col min="6" max="6" width="9.7109375" style="1121" bestFit="1" customWidth="1"/>
    <col min="7" max="7" width="9.7109375" style="1473" customWidth="1"/>
    <col min="8" max="8" width="9.7109375" style="1121" hidden="1" customWidth="1"/>
    <col min="9" max="9" width="1.28515625" style="1201" hidden="1" customWidth="1"/>
    <col min="10" max="10" width="15" style="1475" bestFit="1" customWidth="1"/>
    <col min="11" max="11" width="15.5703125" style="1475" customWidth="1"/>
    <col min="12" max="12" width="21.28515625" style="1121" customWidth="1"/>
    <col min="13" max="13" width="10.5703125" style="1121" bestFit="1" customWidth="1"/>
    <col min="14" max="14" width="13.28515625" style="1121" customWidth="1"/>
    <col min="15" max="15" width="11.28515625" style="1121" bestFit="1" customWidth="1"/>
    <col min="16" max="16" width="10.5703125" style="1121" customWidth="1"/>
    <col min="17" max="16384" width="9.140625" style="1121"/>
  </cols>
  <sheetData>
    <row r="16" spans="1:12">
      <c r="A16" s="1176"/>
      <c r="B16" s="1138"/>
      <c r="C16" s="1138"/>
      <c r="D16" s="1210"/>
      <c r="E16" s="1138"/>
      <c r="F16" s="1138"/>
      <c r="G16" s="1472"/>
      <c r="H16" s="1281"/>
      <c r="I16" s="1182"/>
      <c r="J16" s="1474"/>
      <c r="K16" s="1474"/>
      <c r="L16" s="1138"/>
    </row>
    <row r="17" spans="1:15">
      <c r="A17" s="1852" t="s">
        <v>1363</v>
      </c>
      <c r="B17" s="1852"/>
      <c r="C17" s="1852"/>
      <c r="D17" s="1852"/>
      <c r="E17" s="1852"/>
      <c r="F17" s="1852"/>
      <c r="G17" s="1852"/>
      <c r="H17" s="1852"/>
      <c r="I17" s="1852"/>
      <c r="J17" s="1852"/>
      <c r="K17" s="1489"/>
      <c r="L17" s="1138"/>
    </row>
    <row r="18" spans="1:15" ht="38.25">
      <c r="A18" s="1175"/>
      <c r="B18" s="1175"/>
      <c r="C18" s="1175"/>
      <c r="D18" s="1211"/>
      <c r="E18" s="1175"/>
      <c r="F18" s="1175"/>
      <c r="G18" s="1183" t="s">
        <v>1388</v>
      </c>
      <c r="H18" s="1175"/>
      <c r="L18" s="1138"/>
    </row>
    <row r="19" spans="1:15" ht="292.5">
      <c r="A19" s="1142" t="s">
        <v>244</v>
      </c>
      <c r="B19" s="1142" t="s">
        <v>245</v>
      </c>
      <c r="C19" s="1142" t="s">
        <v>261</v>
      </c>
      <c r="D19" s="1212"/>
      <c r="E19" s="1142" t="s">
        <v>264</v>
      </c>
      <c r="F19" s="1142" t="s">
        <v>262</v>
      </c>
      <c r="G19" s="1184" t="s">
        <v>266</v>
      </c>
      <c r="H19" s="1184"/>
      <c r="I19" s="1184" t="s">
        <v>266</v>
      </c>
      <c r="J19" s="1476" t="s">
        <v>267</v>
      </c>
      <c r="K19" s="1476" t="s">
        <v>1318</v>
      </c>
    </row>
    <row r="20" spans="1:15">
      <c r="A20" s="1853" t="s">
        <v>324</v>
      </c>
      <c r="B20" s="1854"/>
      <c r="C20" s="1854"/>
      <c r="D20" s="1854"/>
      <c r="E20" s="1854"/>
      <c r="F20" s="1854"/>
      <c r="G20" s="1854"/>
      <c r="H20" s="1854"/>
      <c r="I20" s="1854"/>
      <c r="J20" s="1855"/>
      <c r="K20" s="1490"/>
      <c r="L20" s="1161"/>
    </row>
    <row r="21" spans="1:15">
      <c r="A21" s="1856" t="s">
        <v>298</v>
      </c>
      <c r="B21" s="1857" t="s">
        <v>420</v>
      </c>
      <c r="C21" s="1860" t="s">
        <v>418</v>
      </c>
      <c r="D21" s="1860"/>
      <c r="E21" s="1860"/>
      <c r="F21" s="1860"/>
      <c r="G21" s="1861"/>
      <c r="H21" s="1861"/>
      <c r="I21" s="1861"/>
      <c r="J21" s="1477">
        <v>0</v>
      </c>
      <c r="K21" s="1491"/>
      <c r="L21" s="1128"/>
      <c r="M21" s="1475">
        <f>J149</f>
        <v>12576490.707527993</v>
      </c>
      <c r="N21" s="1475">
        <f>K149</f>
        <v>15091788.84903359</v>
      </c>
    </row>
    <row r="22" spans="1:15" ht="18.75">
      <c r="A22" s="1856"/>
      <c r="B22" s="1858"/>
      <c r="C22" s="1174" t="s">
        <v>1097</v>
      </c>
      <c r="D22" s="1213"/>
      <c r="E22" s="1174" t="s">
        <v>1098</v>
      </c>
      <c r="F22" s="1173">
        <v>4676</v>
      </c>
      <c r="G22" s="1471">
        <f>H22</f>
        <v>48.846720000000005</v>
      </c>
      <c r="H22" s="1471">
        <f>I22*$M$22</f>
        <v>48.846720000000005</v>
      </c>
      <c r="I22" s="1185">
        <v>46.968000000000004</v>
      </c>
      <c r="J22" s="1478">
        <f>F22*G22</f>
        <v>228407.26272000003</v>
      </c>
      <c r="K22" s="1492">
        <f>J22*1.2</f>
        <v>274088.715264</v>
      </c>
      <c r="L22" s="1128">
        <f>F22*I22</f>
        <v>219622.36800000002</v>
      </c>
      <c r="M22" s="1121">
        <v>1.04</v>
      </c>
      <c r="O22" s="1475">
        <f>J22-'Затраты на ремонт'!G7</f>
        <v>0</v>
      </c>
    </row>
    <row r="23" spans="1:15" ht="18.75">
      <c r="A23" s="1856"/>
      <c r="B23" s="1858"/>
      <c r="C23" s="1174" t="s">
        <v>1099</v>
      </c>
      <c r="D23" s="1213"/>
      <c r="E23" s="1174" t="s">
        <v>683</v>
      </c>
      <c r="F23" s="1173">
        <v>32</v>
      </c>
      <c r="G23" s="1471">
        <f>H23</f>
        <v>11247.6</v>
      </c>
      <c r="H23" s="1471">
        <f>I23*$M$22</f>
        <v>11247.6</v>
      </c>
      <c r="I23" s="1186">
        <v>10815</v>
      </c>
      <c r="J23" s="1478">
        <f>F23*G23</f>
        <v>359923.20000000001</v>
      </c>
      <c r="K23" s="1492">
        <f t="shared" ref="K23:K86" si="0">J23*1.2</f>
        <v>431907.84000000003</v>
      </c>
      <c r="L23" s="1172" t="s">
        <v>1362</v>
      </c>
      <c r="O23" s="1475">
        <f>J23-'Затраты на ремонт'!G8</f>
        <v>0</v>
      </c>
    </row>
    <row r="24" spans="1:15" ht="18.75">
      <c r="A24" s="1856"/>
      <c r="B24" s="1858"/>
      <c r="C24" s="1168" t="s">
        <v>1100</v>
      </c>
      <c r="D24" s="1214"/>
      <c r="E24" s="1167"/>
      <c r="F24" s="1167">
        <v>0</v>
      </c>
      <c r="G24" s="1167"/>
      <c r="H24" s="1167"/>
      <c r="I24" s="1187"/>
      <c r="J24" s="1479"/>
      <c r="K24" s="1492">
        <f t="shared" si="0"/>
        <v>0</v>
      </c>
      <c r="L24" s="1171"/>
      <c r="O24" s="1475">
        <f>J24-'Затраты на ремонт'!G9</f>
        <v>0</v>
      </c>
    </row>
    <row r="25" spans="1:15" ht="18.75">
      <c r="A25" s="1856"/>
      <c r="B25" s="1858"/>
      <c r="C25" s="1170" t="s">
        <v>1101</v>
      </c>
      <c r="D25" s="1215"/>
      <c r="E25" s="1165" t="s">
        <v>683</v>
      </c>
      <c r="F25" s="1165">
        <v>75</v>
      </c>
      <c r="G25" s="1471">
        <f t="shared" ref="G25:G46" si="1">H25</f>
        <v>141.04490399999997</v>
      </c>
      <c r="H25" s="1471">
        <f>I25*$M$22</f>
        <v>141.04490399999997</v>
      </c>
      <c r="I25" s="1186">
        <v>135.62009999999998</v>
      </c>
      <c r="J25" s="1478">
        <f>F25*G25</f>
        <v>10578.367799999998</v>
      </c>
      <c r="K25" s="1492">
        <f t="shared" si="0"/>
        <v>12694.041359999997</v>
      </c>
      <c r="L25" s="1128"/>
      <c r="O25" s="1475">
        <f>J25-'Затраты на ремонт'!G10</f>
        <v>0</v>
      </c>
    </row>
    <row r="26" spans="1:15" ht="18.75">
      <c r="A26" s="1856"/>
      <c r="B26" s="1858"/>
      <c r="C26" s="1166" t="s">
        <v>1102</v>
      </c>
      <c r="D26" s="1214"/>
      <c r="E26" s="1165" t="s">
        <v>683</v>
      </c>
      <c r="F26" s="1165">
        <v>299</v>
      </c>
      <c r="G26" s="1471">
        <f t="shared" si="1"/>
        <v>393.02328</v>
      </c>
      <c r="H26" s="1471">
        <f t="shared" ref="H26:H46" si="2">I26*$M$22</f>
        <v>393.02328</v>
      </c>
      <c r="I26" s="1186">
        <v>377.90699999999998</v>
      </c>
      <c r="J26" s="1478">
        <f t="shared" ref="J26:J46" si="3">F26*G26</f>
        <v>117513.96072</v>
      </c>
      <c r="K26" s="1492">
        <f t="shared" si="0"/>
        <v>141016.75286400001</v>
      </c>
      <c r="L26" s="1128"/>
      <c r="O26" s="1475">
        <f>J26-'Затраты на ремонт'!G11</f>
        <v>0</v>
      </c>
    </row>
    <row r="27" spans="1:15" ht="18.75">
      <c r="A27" s="1856"/>
      <c r="B27" s="1858"/>
      <c r="C27" s="1166" t="s">
        <v>1103</v>
      </c>
      <c r="D27" s="1214"/>
      <c r="E27" s="1165" t="s">
        <v>683</v>
      </c>
      <c r="F27" s="1165">
        <v>15</v>
      </c>
      <c r="G27" s="1471">
        <f t="shared" si="1"/>
        <v>190.13800000000003</v>
      </c>
      <c r="H27" s="1471">
        <f t="shared" si="2"/>
        <v>190.13800000000003</v>
      </c>
      <c r="I27" s="1186">
        <v>182.82500000000002</v>
      </c>
      <c r="J27" s="1478">
        <f>F27*G27</f>
        <v>2852.0700000000006</v>
      </c>
      <c r="K27" s="1492">
        <f t="shared" si="0"/>
        <v>3422.4840000000008</v>
      </c>
      <c r="L27" s="1128"/>
      <c r="O27" s="1475">
        <f>J27-'Затраты на ремонт'!G12</f>
        <v>0</v>
      </c>
    </row>
    <row r="28" spans="1:15" ht="18.75">
      <c r="A28" s="1856"/>
      <c r="B28" s="1858"/>
      <c r="C28" s="1166" t="s">
        <v>1104</v>
      </c>
      <c r="D28" s="1214"/>
      <c r="E28" s="1165" t="s">
        <v>683</v>
      </c>
      <c r="F28" s="1165">
        <v>222</v>
      </c>
      <c r="G28" s="1471">
        <f t="shared" si="1"/>
        <v>21.745360000000002</v>
      </c>
      <c r="H28" s="1471">
        <f t="shared" si="2"/>
        <v>21.745360000000002</v>
      </c>
      <c r="I28" s="1185">
        <v>20.909000000000002</v>
      </c>
      <c r="J28" s="1478">
        <f t="shared" si="3"/>
        <v>4827.4699200000005</v>
      </c>
      <c r="K28" s="1492">
        <f t="shared" si="0"/>
        <v>5792.9639040000002</v>
      </c>
      <c r="L28" s="1128"/>
      <c r="O28" s="1475">
        <f>J28-'Затраты на ремонт'!G13</f>
        <v>0</v>
      </c>
    </row>
    <row r="29" spans="1:15" ht="18.75">
      <c r="A29" s="1856"/>
      <c r="B29" s="1858"/>
      <c r="C29" s="1166" t="s">
        <v>1105</v>
      </c>
      <c r="D29" s="1214"/>
      <c r="E29" s="1165" t="s">
        <v>683</v>
      </c>
      <c r="F29" s="1165">
        <v>148</v>
      </c>
      <c r="G29" s="1471">
        <f t="shared" si="1"/>
        <v>25.441000000000003</v>
      </c>
      <c r="H29" s="1471">
        <f t="shared" si="2"/>
        <v>25.441000000000003</v>
      </c>
      <c r="I29" s="1185">
        <v>24.462500000000002</v>
      </c>
      <c r="J29" s="1478">
        <f t="shared" si="3"/>
        <v>3765.2680000000005</v>
      </c>
      <c r="K29" s="1492">
        <f t="shared" si="0"/>
        <v>4518.3216000000002</v>
      </c>
      <c r="L29" s="1128"/>
      <c r="O29" s="1475">
        <f>J29-'Затраты на ремонт'!G14</f>
        <v>0</v>
      </c>
    </row>
    <row r="30" spans="1:15" ht="18.75">
      <c r="A30" s="1856"/>
      <c r="B30" s="1858"/>
      <c r="C30" s="1166" t="s">
        <v>1106</v>
      </c>
      <c r="D30" s="1214"/>
      <c r="E30" s="1165" t="s">
        <v>683</v>
      </c>
      <c r="F30" s="1165">
        <v>48</v>
      </c>
      <c r="G30" s="1471">
        <f t="shared" si="1"/>
        <v>54.406247999999998</v>
      </c>
      <c r="H30" s="1471">
        <f t="shared" si="2"/>
        <v>54.406247999999998</v>
      </c>
      <c r="I30" s="1185">
        <v>52.313699999999997</v>
      </c>
      <c r="J30" s="1478">
        <f t="shared" si="3"/>
        <v>2611.4999039999998</v>
      </c>
      <c r="K30" s="1492">
        <f t="shared" si="0"/>
        <v>3133.7998847999997</v>
      </c>
      <c r="L30" s="1128"/>
      <c r="O30" s="1475">
        <f>J30-'Затраты на ремонт'!G15</f>
        <v>0</v>
      </c>
    </row>
    <row r="31" spans="1:15" ht="18.75">
      <c r="A31" s="1856"/>
      <c r="B31" s="1858"/>
      <c r="C31" s="1166" t="s">
        <v>1107</v>
      </c>
      <c r="D31" s="1214"/>
      <c r="E31" s="1165" t="s">
        <v>683</v>
      </c>
      <c r="F31" s="1165">
        <v>48</v>
      </c>
      <c r="G31" s="1471">
        <f t="shared" si="1"/>
        <v>101.33552</v>
      </c>
      <c r="H31" s="1471">
        <f t="shared" si="2"/>
        <v>101.33552</v>
      </c>
      <c r="I31" s="1185">
        <v>97.438000000000002</v>
      </c>
      <c r="J31" s="1478">
        <f t="shared" si="3"/>
        <v>4864.1049600000006</v>
      </c>
      <c r="K31" s="1492">
        <f t="shared" si="0"/>
        <v>5836.9259520000005</v>
      </c>
      <c r="L31" s="1128"/>
      <c r="O31" s="1475">
        <f>J31-'Затраты на ремонт'!G16</f>
        <v>0</v>
      </c>
    </row>
    <row r="32" spans="1:15" ht="18.75">
      <c r="A32" s="1856"/>
      <c r="B32" s="1858"/>
      <c r="C32" s="1166" t="s">
        <v>1108</v>
      </c>
      <c r="D32" s="1214"/>
      <c r="E32" s="1165" t="s">
        <v>683</v>
      </c>
      <c r="F32" s="1165">
        <v>91</v>
      </c>
      <c r="G32" s="1471">
        <f t="shared" si="1"/>
        <v>49.296624000000008</v>
      </c>
      <c r="H32" s="1471">
        <f t="shared" si="2"/>
        <v>49.296624000000008</v>
      </c>
      <c r="I32" s="1185">
        <v>47.400600000000004</v>
      </c>
      <c r="J32" s="1478">
        <f t="shared" si="3"/>
        <v>4485.9927840000009</v>
      </c>
      <c r="K32" s="1492">
        <f t="shared" si="0"/>
        <v>5383.1913408000009</v>
      </c>
      <c r="O32" s="1475">
        <f>J32-'Затраты на ремонт'!G17</f>
        <v>0</v>
      </c>
    </row>
    <row r="33" spans="1:15" ht="18.75">
      <c r="A33" s="1856"/>
      <c r="B33" s="1858"/>
      <c r="C33" s="1166" t="s">
        <v>1109</v>
      </c>
      <c r="D33" s="1214"/>
      <c r="E33" s="1165" t="s">
        <v>683</v>
      </c>
      <c r="F33" s="1165">
        <v>91</v>
      </c>
      <c r="G33" s="1471">
        <f t="shared" si="1"/>
        <v>67.689128000000011</v>
      </c>
      <c r="H33" s="1471">
        <f t="shared" si="2"/>
        <v>67.689128000000011</v>
      </c>
      <c r="I33" s="1185">
        <v>65.085700000000003</v>
      </c>
      <c r="J33" s="1478">
        <f t="shared" si="3"/>
        <v>6159.7106480000011</v>
      </c>
      <c r="K33" s="1492">
        <f t="shared" si="0"/>
        <v>7391.6527776000012</v>
      </c>
      <c r="O33" s="1475">
        <f>J33-'Затраты на ремонт'!G18</f>
        <v>0</v>
      </c>
    </row>
    <row r="34" spans="1:15" ht="18.75">
      <c r="A34" s="1856"/>
      <c r="B34" s="1858"/>
      <c r="C34" s="1166" t="s">
        <v>1110</v>
      </c>
      <c r="D34" s="1214"/>
      <c r="E34" s="1165" t="s">
        <v>683</v>
      </c>
      <c r="F34" s="1165">
        <v>222</v>
      </c>
      <c r="G34" s="1471">
        <f t="shared" si="1"/>
        <v>151.78904</v>
      </c>
      <c r="H34" s="1471">
        <f t="shared" si="2"/>
        <v>151.78904</v>
      </c>
      <c r="I34" s="1188">
        <v>145.95099999999999</v>
      </c>
      <c r="J34" s="1478">
        <f t="shared" si="3"/>
        <v>33697.166879999997</v>
      </c>
      <c r="K34" s="1492">
        <f t="shared" si="0"/>
        <v>40436.600255999998</v>
      </c>
      <c r="O34" s="1475">
        <f>J34-'Затраты на ремонт'!G19</f>
        <v>0</v>
      </c>
    </row>
    <row r="35" spans="1:15" ht="18.75">
      <c r="A35" s="1856"/>
      <c r="B35" s="1858"/>
      <c r="C35" s="1166" t="s">
        <v>1361</v>
      </c>
      <c r="D35" s="1214"/>
      <c r="E35" s="1165" t="s">
        <v>683</v>
      </c>
      <c r="F35" s="1165">
        <v>95</v>
      </c>
      <c r="G35" s="1471">
        <f t="shared" si="1"/>
        <v>441.87</v>
      </c>
      <c r="H35" s="1471">
        <f t="shared" si="2"/>
        <v>441.87</v>
      </c>
      <c r="I35" s="1188">
        <v>424.875</v>
      </c>
      <c r="J35" s="1478">
        <f t="shared" si="3"/>
        <v>41977.65</v>
      </c>
      <c r="K35" s="1492">
        <f t="shared" si="0"/>
        <v>50373.18</v>
      </c>
      <c r="L35" s="1160" t="s">
        <v>1341</v>
      </c>
      <c r="O35" s="1475">
        <f>J35-'Затраты на ремонт'!G20</f>
        <v>0</v>
      </c>
    </row>
    <row r="36" spans="1:15" ht="18.75">
      <c r="A36" s="1856"/>
      <c r="B36" s="1858"/>
      <c r="C36" s="1166" t="s">
        <v>1360</v>
      </c>
      <c r="D36" s="1214"/>
      <c r="E36" s="1165" t="s">
        <v>683</v>
      </c>
      <c r="F36" s="1165">
        <v>95</v>
      </c>
      <c r="G36" s="1471">
        <f t="shared" si="1"/>
        <v>467.31100000000004</v>
      </c>
      <c r="H36" s="1471">
        <f t="shared" si="2"/>
        <v>467.31100000000004</v>
      </c>
      <c r="I36" s="1188">
        <v>449.33750000000003</v>
      </c>
      <c r="J36" s="1478">
        <f t="shared" si="3"/>
        <v>44394.545000000006</v>
      </c>
      <c r="K36" s="1492">
        <f t="shared" si="0"/>
        <v>53273.454000000005</v>
      </c>
      <c r="L36" s="1160" t="s">
        <v>1341</v>
      </c>
      <c r="O36" s="1475">
        <f>J36-'Затраты на ремонт'!G21</f>
        <v>0</v>
      </c>
    </row>
    <row r="37" spans="1:15" ht="18.75">
      <c r="A37" s="1856"/>
      <c r="B37" s="1858"/>
      <c r="C37" s="1166" t="s">
        <v>1111</v>
      </c>
      <c r="D37" s="1214"/>
      <c r="E37" s="1165" t="s">
        <v>1098</v>
      </c>
      <c r="F37" s="1165">
        <v>1027</v>
      </c>
      <c r="G37" s="1471">
        <f t="shared" si="1"/>
        <v>48.204000000000001</v>
      </c>
      <c r="H37" s="1471">
        <f t="shared" si="2"/>
        <v>48.204000000000001</v>
      </c>
      <c r="I37" s="1188">
        <v>46.35</v>
      </c>
      <c r="J37" s="1478">
        <f t="shared" si="3"/>
        <v>49505.508000000002</v>
      </c>
      <c r="K37" s="1492">
        <f t="shared" si="0"/>
        <v>59406.609599999996</v>
      </c>
      <c r="O37" s="1475">
        <f>J37-'Затраты на ремонт'!G22</f>
        <v>0</v>
      </c>
    </row>
    <row r="38" spans="1:15" ht="18.75">
      <c r="A38" s="1856"/>
      <c r="B38" s="1858"/>
      <c r="C38" s="1166" t="s">
        <v>1112</v>
      </c>
      <c r="D38" s="1214"/>
      <c r="E38" s="1165" t="s">
        <v>1098</v>
      </c>
      <c r="F38" s="1165">
        <v>1027</v>
      </c>
      <c r="G38" s="1471">
        <f t="shared" si="1"/>
        <v>66.95</v>
      </c>
      <c r="H38" s="1471">
        <f t="shared" si="2"/>
        <v>66.95</v>
      </c>
      <c r="I38" s="1188">
        <v>64.375</v>
      </c>
      <c r="J38" s="1478">
        <f t="shared" si="3"/>
        <v>68757.650000000009</v>
      </c>
      <c r="K38" s="1492">
        <f t="shared" si="0"/>
        <v>82509.180000000008</v>
      </c>
      <c r="O38" s="1475">
        <f>J38-'Затраты на ремонт'!G23</f>
        <v>0</v>
      </c>
    </row>
    <row r="39" spans="1:15" ht="18.75">
      <c r="A39" s="1856"/>
      <c r="B39" s="1858"/>
      <c r="C39" s="1169" t="s">
        <v>1113</v>
      </c>
      <c r="D39" s="1216"/>
      <c r="E39" s="1169" t="s">
        <v>683</v>
      </c>
      <c r="F39" s="1169">
        <v>68</v>
      </c>
      <c r="G39" s="1471">
        <f t="shared" si="1"/>
        <v>1377.8310000000001</v>
      </c>
      <c r="H39" s="1471">
        <f t="shared" si="2"/>
        <v>1377.8310000000001</v>
      </c>
      <c r="I39" s="1188">
        <v>1324.8375000000001</v>
      </c>
      <c r="J39" s="1478">
        <f t="shared" si="3"/>
        <v>93692.508000000002</v>
      </c>
      <c r="K39" s="1492">
        <f t="shared" si="0"/>
        <v>112431.0096</v>
      </c>
      <c r="O39" s="1475">
        <f>J39-'Затраты на ремонт'!G24</f>
        <v>0</v>
      </c>
    </row>
    <row r="40" spans="1:15" ht="18.75">
      <c r="A40" s="1856"/>
      <c r="B40" s="1858"/>
      <c r="C40" s="1166" t="s">
        <v>1114</v>
      </c>
      <c r="D40" s="1214"/>
      <c r="E40" s="1165" t="s">
        <v>683</v>
      </c>
      <c r="F40" s="1165">
        <v>52</v>
      </c>
      <c r="G40" s="1471">
        <f t="shared" si="1"/>
        <v>6247.7740000000003</v>
      </c>
      <c r="H40" s="1471">
        <f t="shared" si="2"/>
        <v>6247.7740000000003</v>
      </c>
      <c r="I40" s="1188">
        <v>6007.4750000000004</v>
      </c>
      <c r="J40" s="1478">
        <f t="shared" si="3"/>
        <v>324884.24800000002</v>
      </c>
      <c r="K40" s="1492">
        <f t="shared" si="0"/>
        <v>389861.09760000004</v>
      </c>
      <c r="O40" s="1475">
        <f>J40-'Затраты на ремонт'!G25</f>
        <v>0</v>
      </c>
    </row>
    <row r="41" spans="1:15" ht="18.75">
      <c r="A41" s="1856"/>
      <c r="B41" s="1858"/>
      <c r="C41" s="1166" t="s">
        <v>1115</v>
      </c>
      <c r="D41" s="1214"/>
      <c r="E41" s="1165" t="s">
        <v>1116</v>
      </c>
      <c r="F41" s="1165">
        <v>385</v>
      </c>
      <c r="G41" s="1471">
        <f t="shared" si="1"/>
        <v>229.097544</v>
      </c>
      <c r="H41" s="1471">
        <f t="shared" si="2"/>
        <v>229.097544</v>
      </c>
      <c r="I41" s="1188">
        <v>220.2861</v>
      </c>
      <c r="J41" s="1478">
        <f t="shared" si="3"/>
        <v>88202.554439999993</v>
      </c>
      <c r="K41" s="1492">
        <f t="shared" si="0"/>
        <v>105843.06532799998</v>
      </c>
      <c r="O41" s="1475">
        <f>J41-'Затраты на ремонт'!G26</f>
        <v>0</v>
      </c>
    </row>
    <row r="42" spans="1:15" ht="18.75">
      <c r="A42" s="1856"/>
      <c r="B42" s="1858"/>
      <c r="C42" s="1166" t="s">
        <v>1359</v>
      </c>
      <c r="D42" s="1214"/>
      <c r="E42" s="1165" t="s">
        <v>1116</v>
      </c>
      <c r="F42" s="1165">
        <v>192</v>
      </c>
      <c r="G42" s="1471">
        <f t="shared" si="1"/>
        <v>27.208480000000002</v>
      </c>
      <c r="H42" s="1471">
        <f t="shared" si="2"/>
        <v>27.208480000000002</v>
      </c>
      <c r="I42" s="1188">
        <v>26.161999999999999</v>
      </c>
      <c r="J42" s="1478">
        <f t="shared" si="3"/>
        <v>5224.0281599999998</v>
      </c>
      <c r="K42" s="1492">
        <f t="shared" si="0"/>
        <v>6268.8337919999994</v>
      </c>
      <c r="L42" s="1160" t="s">
        <v>1341</v>
      </c>
      <c r="O42" s="1475">
        <f>J42-'Затраты на ремонт'!G27</f>
        <v>0</v>
      </c>
    </row>
    <row r="43" spans="1:15" ht="18.75">
      <c r="A43" s="1856"/>
      <c r="B43" s="1858"/>
      <c r="C43" s="1166" t="s">
        <v>1117</v>
      </c>
      <c r="D43" s="1214"/>
      <c r="E43" s="1165" t="s">
        <v>683</v>
      </c>
      <c r="F43" s="1165">
        <v>377</v>
      </c>
      <c r="G43" s="1471">
        <f t="shared" si="1"/>
        <v>132.56100000000001</v>
      </c>
      <c r="H43" s="1471">
        <f t="shared" si="2"/>
        <v>132.56100000000001</v>
      </c>
      <c r="I43" s="1188">
        <v>127.46250000000001</v>
      </c>
      <c r="J43" s="1478">
        <f t="shared" si="3"/>
        <v>49975.497000000003</v>
      </c>
      <c r="K43" s="1492">
        <f t="shared" si="0"/>
        <v>59970.596400000002</v>
      </c>
      <c r="O43" s="1475">
        <f>J43-'Затраты на ремонт'!G28</f>
        <v>0</v>
      </c>
    </row>
    <row r="44" spans="1:15" ht="18.75">
      <c r="A44" s="1856"/>
      <c r="B44" s="1858"/>
      <c r="C44" s="1168" t="s">
        <v>1118</v>
      </c>
      <c r="D44" s="1214"/>
      <c r="E44" s="1167" t="s">
        <v>1098</v>
      </c>
      <c r="F44" s="1167">
        <v>34</v>
      </c>
      <c r="G44" s="1471">
        <f t="shared" si="1"/>
        <v>0</v>
      </c>
      <c r="H44" s="1471">
        <f t="shared" si="2"/>
        <v>0</v>
      </c>
      <c r="I44" s="1189"/>
      <c r="J44" s="1478">
        <f t="shared" si="3"/>
        <v>0</v>
      </c>
      <c r="K44" s="1492">
        <f t="shared" si="0"/>
        <v>0</v>
      </c>
      <c r="L44" s="1162" t="s">
        <v>1358</v>
      </c>
      <c r="O44" s="1475">
        <f>J44-'Затраты на ремонт'!G29</f>
        <v>0</v>
      </c>
    </row>
    <row r="45" spans="1:15" ht="37.5">
      <c r="A45" s="1856"/>
      <c r="B45" s="1858"/>
      <c r="C45" s="1166" t="s">
        <v>1119</v>
      </c>
      <c r="D45" s="1214"/>
      <c r="E45" s="1165" t="s">
        <v>683</v>
      </c>
      <c r="F45" s="1165">
        <v>7</v>
      </c>
      <c r="G45" s="1471">
        <f t="shared" si="1"/>
        <v>9306.0500000000011</v>
      </c>
      <c r="H45" s="1471">
        <f t="shared" si="2"/>
        <v>9306.0500000000011</v>
      </c>
      <c r="I45" s="1188">
        <v>8948.125</v>
      </c>
      <c r="J45" s="1478">
        <f t="shared" si="3"/>
        <v>65142.350000000006</v>
      </c>
      <c r="K45" s="1492">
        <f t="shared" si="0"/>
        <v>78170.820000000007</v>
      </c>
      <c r="O45" s="1475">
        <f>J45-'Затраты на ремонт'!G30</f>
        <v>0</v>
      </c>
    </row>
    <row r="46" spans="1:15" ht="18.75">
      <c r="A46" s="1856"/>
      <c r="B46" s="1858"/>
      <c r="C46" s="1164" t="s">
        <v>1357</v>
      </c>
      <c r="D46" s="1217"/>
      <c r="E46" s="1163" t="s">
        <v>1116</v>
      </c>
      <c r="F46" s="1163">
        <v>377</v>
      </c>
      <c r="G46" s="1471">
        <f t="shared" si="1"/>
        <v>0</v>
      </c>
      <c r="H46" s="1471">
        <f t="shared" si="2"/>
        <v>0</v>
      </c>
      <c r="I46" s="1190"/>
      <c r="J46" s="1478">
        <f t="shared" si="3"/>
        <v>0</v>
      </c>
      <c r="K46" s="1492"/>
      <c r="L46" s="1162" t="s">
        <v>1338</v>
      </c>
      <c r="O46" s="1475">
        <f>J46-'Затраты на ремонт'!G31</f>
        <v>0</v>
      </c>
    </row>
    <row r="47" spans="1:15" ht="19.5" thickBot="1">
      <c r="A47" s="1856"/>
      <c r="B47" s="1859"/>
      <c r="C47" s="1142"/>
      <c r="D47" s="1212"/>
      <c r="E47" s="1137"/>
      <c r="F47" s="1137"/>
      <c r="G47" s="1282"/>
      <c r="H47" s="1282"/>
      <c r="I47" s="1184"/>
      <c r="J47" s="1474"/>
      <c r="K47" s="1492"/>
      <c r="O47" s="1475">
        <f>J47-'Затраты на ремонт'!G32</f>
        <v>0</v>
      </c>
    </row>
    <row r="48" spans="1:15" ht="19.5" thickBot="1">
      <c r="A48" s="1143" t="s">
        <v>260</v>
      </c>
      <c r="B48" s="1860" t="s">
        <v>419</v>
      </c>
      <c r="C48" s="1860"/>
      <c r="D48" s="1860"/>
      <c r="E48" s="1860"/>
      <c r="F48" s="1860"/>
      <c r="G48" s="1862"/>
      <c r="H48" s="1862"/>
      <c r="I48" s="1863"/>
      <c r="J48" s="1480"/>
      <c r="K48" s="1492"/>
      <c r="L48" s="1128"/>
      <c r="O48" s="1475">
        <f>J48-'Затраты на ремонт'!G33</f>
        <v>0</v>
      </c>
    </row>
    <row r="49" spans="1:15" ht="19.5" thickBot="1">
      <c r="A49" s="1853" t="s">
        <v>325</v>
      </c>
      <c r="B49" s="1854"/>
      <c r="C49" s="1854"/>
      <c r="D49" s="1854"/>
      <c r="E49" s="1854"/>
      <c r="F49" s="1854"/>
      <c r="G49" s="1854"/>
      <c r="H49" s="1854"/>
      <c r="I49" s="1854"/>
      <c r="J49" s="1864"/>
      <c r="K49" s="1492"/>
      <c r="L49" s="1161"/>
      <c r="O49" s="1475">
        <f>J49-'Затраты на ремонт'!G34</f>
        <v>0</v>
      </c>
    </row>
    <row r="50" spans="1:15" ht="19.5" thickBot="1">
      <c r="A50" s="1871" t="s">
        <v>247</v>
      </c>
      <c r="B50" s="1865" t="s">
        <v>420</v>
      </c>
      <c r="C50" s="1868" t="s">
        <v>418</v>
      </c>
      <c r="D50" s="1868"/>
      <c r="E50" s="1868"/>
      <c r="F50" s="1868"/>
      <c r="G50" s="1869"/>
      <c r="H50" s="1869"/>
      <c r="I50" s="1869"/>
      <c r="J50" s="1481"/>
      <c r="K50" s="1492"/>
      <c r="L50" s="1128"/>
      <c r="O50" s="1475"/>
    </row>
    <row r="51" spans="1:15" ht="18.75">
      <c r="A51" s="1871"/>
      <c r="B51" s="1866"/>
      <c r="C51" s="1136" t="s">
        <v>1120</v>
      </c>
      <c r="D51" s="1218"/>
      <c r="E51" s="1131" t="s">
        <v>1098</v>
      </c>
      <c r="F51" s="1131">
        <v>2004</v>
      </c>
      <c r="G51" s="1471">
        <f>H51</f>
        <v>247.9828</v>
      </c>
      <c r="H51" s="1471">
        <f t="shared" ref="H51:H90" si="4">I51*$M$22</f>
        <v>247.9828</v>
      </c>
      <c r="I51" s="1191">
        <v>238.44499999999999</v>
      </c>
      <c r="J51" s="1478">
        <f t="shared" ref="J51:J90" si="5">F51*G51</f>
        <v>496957.53119999997</v>
      </c>
      <c r="K51" s="1492">
        <f t="shared" si="0"/>
        <v>596349.03743999999</v>
      </c>
      <c r="L51" s="1128"/>
      <c r="M51" s="1121">
        <v>1000000</v>
      </c>
      <c r="N51" s="1121">
        <f t="shared" ref="N51:N89" si="6">K51-M51</f>
        <v>-403650.96256000001</v>
      </c>
      <c r="O51" s="1475">
        <f>J51-'Затраты на ремонт'!G36</f>
        <v>0</v>
      </c>
    </row>
    <row r="52" spans="1:15" ht="18.75">
      <c r="A52" s="1871"/>
      <c r="B52" s="1866"/>
      <c r="C52" s="1136" t="s">
        <v>1121</v>
      </c>
      <c r="D52" s="1218"/>
      <c r="E52" s="1131" t="s">
        <v>1098</v>
      </c>
      <c r="F52" s="1131">
        <v>1180</v>
      </c>
      <c r="G52" s="1471">
        <f>H52</f>
        <v>251.51776000000004</v>
      </c>
      <c r="H52" s="1471">
        <f t="shared" si="4"/>
        <v>251.51776000000004</v>
      </c>
      <c r="I52" s="1191">
        <v>241.84400000000002</v>
      </c>
      <c r="J52" s="1478">
        <f t="shared" si="5"/>
        <v>296790.95680000004</v>
      </c>
      <c r="K52" s="1492">
        <f t="shared" si="0"/>
        <v>356149.14816000004</v>
      </c>
      <c r="L52" s="1128"/>
      <c r="M52" s="1121">
        <v>1000000</v>
      </c>
      <c r="N52" s="1121">
        <f t="shared" si="6"/>
        <v>-643850.8518399999</v>
      </c>
      <c r="O52" s="1475">
        <f>J52-'Затраты на ремонт'!G37</f>
        <v>0</v>
      </c>
    </row>
    <row r="53" spans="1:15" ht="18.75">
      <c r="A53" s="1871"/>
      <c r="B53" s="1866"/>
      <c r="C53" s="1151" t="s">
        <v>1356</v>
      </c>
      <c r="D53" s="1218"/>
      <c r="E53" s="1150"/>
      <c r="F53" s="1150">
        <v>0</v>
      </c>
      <c r="G53" s="1150"/>
      <c r="H53" s="1150"/>
      <c r="I53" s="1192">
        <v>0</v>
      </c>
      <c r="J53" s="1478">
        <f t="shared" si="5"/>
        <v>0</v>
      </c>
      <c r="K53" s="1492">
        <f t="shared" si="0"/>
        <v>0</v>
      </c>
      <c r="L53" s="1128"/>
      <c r="M53" s="1121">
        <v>1000000</v>
      </c>
      <c r="N53" s="1121">
        <f t="shared" si="6"/>
        <v>-1000000</v>
      </c>
      <c r="O53" s="1475">
        <f>J53-'Затраты на ремонт'!G38</f>
        <v>0</v>
      </c>
    </row>
    <row r="54" spans="1:15" ht="18.75">
      <c r="A54" s="1871"/>
      <c r="B54" s="1866"/>
      <c r="C54" s="1136" t="s">
        <v>1122</v>
      </c>
      <c r="D54" s="1218"/>
      <c r="E54" s="1131" t="s">
        <v>683</v>
      </c>
      <c r="F54" s="1131">
        <v>44</v>
      </c>
      <c r="G54" s="1471">
        <f>H54</f>
        <v>8003.5672080000013</v>
      </c>
      <c r="H54" s="1471">
        <f t="shared" si="4"/>
        <v>8003.5672080000013</v>
      </c>
      <c r="I54" s="1191">
        <v>7695.7377000000006</v>
      </c>
      <c r="J54" s="1478">
        <f t="shared" si="5"/>
        <v>352156.95715200005</v>
      </c>
      <c r="K54" s="1492">
        <f t="shared" si="0"/>
        <v>422588.34858240007</v>
      </c>
      <c r="L54" s="1128"/>
      <c r="M54" s="1121">
        <v>1000000</v>
      </c>
      <c r="N54" s="1121">
        <f t="shared" si="6"/>
        <v>-577411.65141759999</v>
      </c>
      <c r="O54" s="1475">
        <f>J54-'Затраты на ремонт'!G39</f>
        <v>0</v>
      </c>
    </row>
    <row r="55" spans="1:15" ht="18.75">
      <c r="A55" s="1871"/>
      <c r="B55" s="1866"/>
      <c r="C55" s="1159" t="s">
        <v>1101</v>
      </c>
      <c r="D55" s="1218"/>
      <c r="E55" s="1131" t="s">
        <v>683</v>
      </c>
      <c r="F55" s="1131">
        <v>75</v>
      </c>
      <c r="G55" s="1471">
        <f>H55</f>
        <v>141.04490399999997</v>
      </c>
      <c r="H55" s="1471">
        <f t="shared" si="4"/>
        <v>141.04490399999997</v>
      </c>
      <c r="I55" s="1191">
        <v>135.62009999999998</v>
      </c>
      <c r="J55" s="1478">
        <f t="shared" si="5"/>
        <v>10578.367799999998</v>
      </c>
      <c r="K55" s="1492">
        <f t="shared" si="0"/>
        <v>12694.041359999997</v>
      </c>
      <c r="L55" s="1128"/>
      <c r="M55" s="1121">
        <v>1000000</v>
      </c>
      <c r="N55" s="1121">
        <f t="shared" si="6"/>
        <v>-987305.95863999997</v>
      </c>
      <c r="O55" s="1475">
        <f>J55-'Затраты на ремонт'!G40</f>
        <v>0</v>
      </c>
    </row>
    <row r="56" spans="1:15" ht="18.75">
      <c r="A56" s="1871"/>
      <c r="B56" s="1866"/>
      <c r="C56" s="1159" t="s">
        <v>1123</v>
      </c>
      <c r="D56" s="1218"/>
      <c r="E56" s="1131" t="s">
        <v>1124</v>
      </c>
      <c r="F56" s="1131">
        <v>30</v>
      </c>
      <c r="G56" s="1471">
        <f t="shared" ref="G56:G90" si="7">H56</f>
        <v>59.451599999999999</v>
      </c>
      <c r="H56" s="1471">
        <f t="shared" si="4"/>
        <v>59.451599999999999</v>
      </c>
      <c r="I56" s="1191">
        <v>57.164999999999999</v>
      </c>
      <c r="J56" s="1478">
        <f t="shared" si="5"/>
        <v>1783.548</v>
      </c>
      <c r="K56" s="1492">
        <f t="shared" si="0"/>
        <v>2140.2575999999999</v>
      </c>
      <c r="L56" s="1133" t="s">
        <v>1355</v>
      </c>
      <c r="M56" s="1121">
        <v>1000000</v>
      </c>
      <c r="N56" s="1121">
        <f t="shared" si="6"/>
        <v>-997859.74239999999</v>
      </c>
      <c r="O56" s="1475">
        <f>J56-'Затраты на ремонт'!G41</f>
        <v>0</v>
      </c>
    </row>
    <row r="57" spans="1:15" ht="18.75" customHeight="1">
      <c r="A57" s="1871"/>
      <c r="B57" s="1866"/>
      <c r="C57" s="1495" t="s">
        <v>1125</v>
      </c>
      <c r="D57" s="1218"/>
      <c r="E57" s="1131" t="s">
        <v>1126</v>
      </c>
      <c r="F57" s="1131">
        <v>6</v>
      </c>
      <c r="G57" s="1471">
        <f t="shared" si="7"/>
        <v>16.496480000000002</v>
      </c>
      <c r="H57" s="1471">
        <f t="shared" si="4"/>
        <v>16.496480000000002</v>
      </c>
      <c r="I57" s="1191">
        <v>15.862</v>
      </c>
      <c r="J57" s="1478">
        <f t="shared" si="5"/>
        <v>98.978880000000004</v>
      </c>
      <c r="K57" s="1492">
        <f t="shared" si="0"/>
        <v>118.77465599999999</v>
      </c>
      <c r="L57" s="1133" t="s">
        <v>1354</v>
      </c>
      <c r="M57" s="1121">
        <v>1000000</v>
      </c>
      <c r="N57" s="1121">
        <f t="shared" si="6"/>
        <v>-999881.22534400003</v>
      </c>
      <c r="O57" s="1475">
        <f>J57-'Затраты на ремонт'!G42</f>
        <v>0</v>
      </c>
    </row>
    <row r="58" spans="1:15" ht="18.75">
      <c r="A58" s="1871"/>
      <c r="B58" s="1866"/>
      <c r="C58" s="1159" t="s">
        <v>1127</v>
      </c>
      <c r="D58" s="1218"/>
      <c r="E58" s="1131" t="s">
        <v>683</v>
      </c>
      <c r="F58" s="1131">
        <v>75</v>
      </c>
      <c r="G58" s="1471">
        <f t="shared" si="7"/>
        <v>742.98432000000003</v>
      </c>
      <c r="H58" s="1471">
        <f t="shared" si="4"/>
        <v>742.98432000000003</v>
      </c>
      <c r="I58" s="1191">
        <v>714.40800000000002</v>
      </c>
      <c r="J58" s="1478">
        <f>F58*G58</f>
        <v>55723.824000000001</v>
      </c>
      <c r="K58" s="1492">
        <f t="shared" si="0"/>
        <v>66868.588799999998</v>
      </c>
      <c r="L58" s="1128"/>
      <c r="M58" s="1121">
        <v>1000000</v>
      </c>
      <c r="N58" s="1121">
        <f t="shared" si="6"/>
        <v>-933131.41119999997</v>
      </c>
      <c r="O58" s="1475">
        <f>J58-'Затраты на ремонт'!G43</f>
        <v>0</v>
      </c>
    </row>
    <row r="59" spans="1:15" ht="18.75">
      <c r="A59" s="1871"/>
      <c r="B59" s="1866"/>
      <c r="C59" s="1159" t="s">
        <v>1128</v>
      </c>
      <c r="D59" s="1218"/>
      <c r="E59" s="1131" t="s">
        <v>683</v>
      </c>
      <c r="F59" s="1131">
        <v>41</v>
      </c>
      <c r="G59" s="1471">
        <f t="shared" si="7"/>
        <v>355.20992000000007</v>
      </c>
      <c r="H59" s="1471">
        <f t="shared" si="4"/>
        <v>355.20992000000007</v>
      </c>
      <c r="I59" s="1191">
        <v>341.54800000000006</v>
      </c>
      <c r="J59" s="1478">
        <f t="shared" si="5"/>
        <v>14563.606720000003</v>
      </c>
      <c r="K59" s="1492">
        <f t="shared" si="0"/>
        <v>17476.328064000005</v>
      </c>
      <c r="L59" s="1128"/>
      <c r="M59" s="1121">
        <v>1000000</v>
      </c>
      <c r="N59" s="1121">
        <f t="shared" si="6"/>
        <v>-982523.671936</v>
      </c>
      <c r="O59" s="1475">
        <f>J59-'Затраты на ремонт'!G44</f>
        <v>0</v>
      </c>
    </row>
    <row r="60" spans="1:15" ht="18.75">
      <c r="A60" s="1871"/>
      <c r="B60" s="1866"/>
      <c r="C60" s="1159" t="s">
        <v>1129</v>
      </c>
      <c r="D60" s="1218"/>
      <c r="E60" s="1131" t="s">
        <v>683</v>
      </c>
      <c r="F60" s="1131">
        <v>41</v>
      </c>
      <c r="G60" s="1471">
        <f t="shared" si="7"/>
        <v>590.01695999999993</v>
      </c>
      <c r="H60" s="1471">
        <f t="shared" si="4"/>
        <v>590.01695999999993</v>
      </c>
      <c r="I60" s="1191">
        <v>567.32399999999996</v>
      </c>
      <c r="J60" s="1478">
        <f t="shared" si="5"/>
        <v>24190.695359999998</v>
      </c>
      <c r="K60" s="1492">
        <f t="shared" si="0"/>
        <v>29028.834431999996</v>
      </c>
      <c r="L60" s="1128"/>
      <c r="M60" s="1121">
        <v>1000000</v>
      </c>
      <c r="N60" s="1121">
        <f t="shared" si="6"/>
        <v>-970971.16556800005</v>
      </c>
      <c r="O60" s="1475">
        <f>J60-'Затраты на ремонт'!G45</f>
        <v>0</v>
      </c>
    </row>
    <row r="61" spans="1:15" ht="18.75">
      <c r="A61" s="1871"/>
      <c r="B61" s="1866"/>
      <c r="C61" s="1159" t="s">
        <v>1353</v>
      </c>
      <c r="D61" s="1218"/>
      <c r="E61" s="1131" t="s">
        <v>683</v>
      </c>
      <c r="F61" s="1131">
        <v>75</v>
      </c>
      <c r="G61" s="1471">
        <f t="shared" si="7"/>
        <v>226.23744000000002</v>
      </c>
      <c r="H61" s="1471">
        <f t="shared" si="4"/>
        <v>226.23744000000002</v>
      </c>
      <c r="I61" s="1191">
        <v>217.536</v>
      </c>
      <c r="J61" s="1478">
        <f t="shared" si="5"/>
        <v>16967.808000000001</v>
      </c>
      <c r="K61" s="1492">
        <f t="shared" si="0"/>
        <v>20361.369600000002</v>
      </c>
      <c r="L61" s="1160" t="s">
        <v>1341</v>
      </c>
      <c r="M61" s="1121">
        <v>1000000</v>
      </c>
      <c r="N61" s="1121">
        <f t="shared" si="6"/>
        <v>-979638.63040000002</v>
      </c>
      <c r="O61" s="1475">
        <f>J61-'Затраты на ремонт'!G46</f>
        <v>0</v>
      </c>
    </row>
    <row r="62" spans="1:15" ht="18.75">
      <c r="A62" s="1871"/>
      <c r="B62" s="1866"/>
      <c r="C62" s="1159" t="s">
        <v>1130</v>
      </c>
      <c r="D62" s="1218"/>
      <c r="E62" s="1131" t="s">
        <v>1098</v>
      </c>
      <c r="F62" s="1131">
        <v>754</v>
      </c>
      <c r="G62" s="1471">
        <f t="shared" si="7"/>
        <v>64.379120000000015</v>
      </c>
      <c r="H62" s="1471">
        <f t="shared" si="4"/>
        <v>64.379120000000015</v>
      </c>
      <c r="I62" s="1191">
        <v>61.903000000000006</v>
      </c>
      <c r="J62" s="1478">
        <f t="shared" si="5"/>
        <v>48541.856480000009</v>
      </c>
      <c r="K62" s="1492">
        <f t="shared" si="0"/>
        <v>58250.227776000007</v>
      </c>
      <c r="L62" s="1128"/>
      <c r="M62" s="1121">
        <v>1000000</v>
      </c>
      <c r="N62" s="1121">
        <f t="shared" si="6"/>
        <v>-941749.77222399996</v>
      </c>
      <c r="O62" s="1475">
        <f>J62-'Затраты на ремонт'!G47</f>
        <v>0</v>
      </c>
    </row>
    <row r="63" spans="1:15" ht="18.75">
      <c r="A63" s="1871"/>
      <c r="B63" s="1866"/>
      <c r="C63" s="1159" t="s">
        <v>1352</v>
      </c>
      <c r="D63" s="1218"/>
      <c r="E63" s="1131" t="s">
        <v>683</v>
      </c>
      <c r="F63" s="1131">
        <v>302</v>
      </c>
      <c r="G63" s="1471">
        <f t="shared" si="7"/>
        <v>477.86232000000007</v>
      </c>
      <c r="H63" s="1471">
        <f t="shared" si="4"/>
        <v>477.86232000000007</v>
      </c>
      <c r="I63" s="1191">
        <v>459.48300000000006</v>
      </c>
      <c r="J63" s="1478">
        <f t="shared" si="5"/>
        <v>144314.42064000003</v>
      </c>
      <c r="K63" s="1492">
        <f t="shared" si="0"/>
        <v>173177.30476800003</v>
      </c>
      <c r="L63" s="1160" t="s">
        <v>1341</v>
      </c>
      <c r="M63" s="1121">
        <v>1000000</v>
      </c>
      <c r="N63" s="1121">
        <f t="shared" si="6"/>
        <v>-826822.69523199997</v>
      </c>
      <c r="O63" s="1475">
        <f>J63-'Затраты на ремонт'!G48</f>
        <v>0</v>
      </c>
    </row>
    <row r="64" spans="1:15" ht="18.75">
      <c r="A64" s="1871"/>
      <c r="B64" s="1866"/>
      <c r="C64" s="1159" t="s">
        <v>1131</v>
      </c>
      <c r="D64" s="1218"/>
      <c r="E64" s="1131" t="s">
        <v>683</v>
      </c>
      <c r="F64" s="1131">
        <v>302</v>
      </c>
      <c r="G64" s="1471">
        <f t="shared" si="7"/>
        <v>63.093680000000006</v>
      </c>
      <c r="H64" s="1471">
        <f t="shared" si="4"/>
        <v>63.093680000000006</v>
      </c>
      <c r="I64" s="1191">
        <v>60.667000000000002</v>
      </c>
      <c r="J64" s="1478">
        <f t="shared" si="5"/>
        <v>19054.291360000003</v>
      </c>
      <c r="K64" s="1492">
        <f t="shared" si="0"/>
        <v>22865.149632000004</v>
      </c>
      <c r="M64" s="1121">
        <v>1000000</v>
      </c>
      <c r="N64" s="1121">
        <f t="shared" si="6"/>
        <v>-977134.85036799998</v>
      </c>
      <c r="O64" s="1475">
        <f>J64-'Затраты на ремонт'!G49</f>
        <v>0</v>
      </c>
    </row>
    <row r="65" spans="1:15" ht="18.75">
      <c r="A65" s="1871"/>
      <c r="B65" s="1866"/>
      <c r="C65" s="1159" t="s">
        <v>1351</v>
      </c>
      <c r="D65" s="1218"/>
      <c r="E65" s="1131" t="s">
        <v>683</v>
      </c>
      <c r="F65" s="1131">
        <v>377</v>
      </c>
      <c r="G65" s="1471">
        <f t="shared" si="7"/>
        <v>4.8204000000000002</v>
      </c>
      <c r="H65" s="1471">
        <f t="shared" si="4"/>
        <v>4.8204000000000002</v>
      </c>
      <c r="I65" s="1191">
        <v>4.6349999999999998</v>
      </c>
      <c r="J65" s="1478">
        <f>F65*G65</f>
        <v>1817.2908</v>
      </c>
      <c r="K65" s="1492">
        <f t="shared" si="0"/>
        <v>2180.7489599999999</v>
      </c>
      <c r="L65" s="1160" t="s">
        <v>1341</v>
      </c>
      <c r="M65" s="1121">
        <v>1000000</v>
      </c>
      <c r="N65" s="1121">
        <f t="shared" si="6"/>
        <v>-997819.25104</v>
      </c>
      <c r="O65" s="1475">
        <f>J65-'Затраты на ремонт'!G50</f>
        <v>0</v>
      </c>
    </row>
    <row r="66" spans="1:15" ht="18.75">
      <c r="A66" s="1871"/>
      <c r="B66" s="1866"/>
      <c r="C66" s="1159" t="s">
        <v>1132</v>
      </c>
      <c r="D66" s="1218"/>
      <c r="E66" s="1131" t="s">
        <v>683</v>
      </c>
      <c r="F66" s="1131">
        <v>75</v>
      </c>
      <c r="G66" s="1471">
        <f t="shared" si="7"/>
        <v>140.595</v>
      </c>
      <c r="H66" s="1471">
        <f t="shared" si="4"/>
        <v>140.595</v>
      </c>
      <c r="I66" s="1191">
        <v>135.1875</v>
      </c>
      <c r="J66" s="1478">
        <f t="shared" si="5"/>
        <v>10544.625</v>
      </c>
      <c r="K66" s="1492">
        <f t="shared" si="0"/>
        <v>12653.55</v>
      </c>
      <c r="M66" s="1121">
        <v>1000000</v>
      </c>
      <c r="N66" s="1121">
        <f t="shared" si="6"/>
        <v>-987346.45</v>
      </c>
      <c r="O66" s="1475">
        <f>J66-'Затраты на ремонт'!G51</f>
        <v>0</v>
      </c>
    </row>
    <row r="67" spans="1:15" ht="18.75">
      <c r="A67" s="1871"/>
      <c r="B67" s="1866"/>
      <c r="C67" s="1159" t="s">
        <v>1133</v>
      </c>
      <c r="D67" s="1218"/>
      <c r="E67" s="1131" t="s">
        <v>683</v>
      </c>
      <c r="F67" s="1131">
        <v>75</v>
      </c>
      <c r="G67" s="1471">
        <f t="shared" si="7"/>
        <v>140.595</v>
      </c>
      <c r="H67" s="1471">
        <f t="shared" si="4"/>
        <v>140.595</v>
      </c>
      <c r="I67" s="1191">
        <v>135.1875</v>
      </c>
      <c r="J67" s="1478">
        <f t="shared" si="5"/>
        <v>10544.625</v>
      </c>
      <c r="K67" s="1492">
        <f t="shared" si="0"/>
        <v>12653.55</v>
      </c>
      <c r="M67" s="1121">
        <v>1000000</v>
      </c>
      <c r="N67" s="1121">
        <f t="shared" si="6"/>
        <v>-987346.45</v>
      </c>
      <c r="O67" s="1475">
        <f>J67-'Затраты на ремонт'!G52</f>
        <v>0</v>
      </c>
    </row>
    <row r="68" spans="1:15" ht="18.75">
      <c r="A68" s="1871"/>
      <c r="B68" s="1866"/>
      <c r="C68" s="1159" t="s">
        <v>1134</v>
      </c>
      <c r="D68" s="1218"/>
      <c r="E68" s="1131" t="s">
        <v>683</v>
      </c>
      <c r="F68" s="1131">
        <v>11</v>
      </c>
      <c r="G68" s="1471">
        <f t="shared" si="7"/>
        <v>403.03900000000004</v>
      </c>
      <c r="H68" s="1471">
        <f t="shared" si="4"/>
        <v>403.03900000000004</v>
      </c>
      <c r="I68" s="1191">
        <v>387.53750000000002</v>
      </c>
      <c r="J68" s="1478">
        <f t="shared" si="5"/>
        <v>4433.4290000000001</v>
      </c>
      <c r="K68" s="1492">
        <f t="shared" si="0"/>
        <v>5320.1148000000003</v>
      </c>
      <c r="M68" s="1121">
        <v>1000000</v>
      </c>
      <c r="N68" s="1121">
        <f t="shared" si="6"/>
        <v>-994679.88520000002</v>
      </c>
      <c r="O68" s="1475">
        <f>J68-'Затраты на ремонт'!G53</f>
        <v>0</v>
      </c>
    </row>
    <row r="69" spans="1:15" ht="18.75">
      <c r="A69" s="1871"/>
      <c r="B69" s="1866"/>
      <c r="C69" s="1159" t="s">
        <v>1135</v>
      </c>
      <c r="D69" s="1218"/>
      <c r="E69" s="1131" t="s">
        <v>683</v>
      </c>
      <c r="F69" s="1131">
        <v>3</v>
      </c>
      <c r="G69" s="1471">
        <f t="shared" si="7"/>
        <v>18795.2752</v>
      </c>
      <c r="H69" s="1471">
        <f t="shared" si="4"/>
        <v>18795.2752</v>
      </c>
      <c r="I69" s="1191">
        <v>18072.38</v>
      </c>
      <c r="J69" s="1478">
        <f t="shared" si="5"/>
        <v>56385.825599999996</v>
      </c>
      <c r="K69" s="1492">
        <f t="shared" si="0"/>
        <v>67662.990719999987</v>
      </c>
      <c r="M69" s="1121">
        <v>1000000</v>
      </c>
      <c r="N69" s="1121">
        <f t="shared" si="6"/>
        <v>-932337.00928</v>
      </c>
      <c r="O69" s="1475">
        <f>J69-'Затраты на ремонт'!G54</f>
        <v>0</v>
      </c>
    </row>
    <row r="70" spans="1:15" ht="18.75">
      <c r="A70" s="1871"/>
      <c r="B70" s="1866"/>
      <c r="C70" s="1159" t="s">
        <v>1136</v>
      </c>
      <c r="D70" s="1218"/>
      <c r="E70" s="1131" t="s">
        <v>683</v>
      </c>
      <c r="F70" s="1131">
        <v>3</v>
      </c>
      <c r="G70" s="1471">
        <f t="shared" si="7"/>
        <v>17357.7248</v>
      </c>
      <c r="H70" s="1471">
        <f t="shared" si="4"/>
        <v>17357.7248</v>
      </c>
      <c r="I70" s="1191">
        <v>16690.12</v>
      </c>
      <c r="J70" s="1478">
        <f t="shared" si="5"/>
        <v>52073.174400000004</v>
      </c>
      <c r="K70" s="1492">
        <f t="shared" si="0"/>
        <v>62487.809280000001</v>
      </c>
      <c r="M70" s="1121">
        <v>1000000</v>
      </c>
      <c r="N70" s="1121">
        <f t="shared" si="6"/>
        <v>-937512.19071999996</v>
      </c>
      <c r="O70" s="1475">
        <f>J70-'Затраты на ремонт'!G55</f>
        <v>0</v>
      </c>
    </row>
    <row r="71" spans="1:15" ht="18.75">
      <c r="A71" s="1871"/>
      <c r="B71" s="1866"/>
      <c r="C71" s="1159" t="s">
        <v>1137</v>
      </c>
      <c r="D71" s="1218"/>
      <c r="E71" s="1131" t="s">
        <v>683</v>
      </c>
      <c r="F71" s="1131">
        <v>754</v>
      </c>
      <c r="G71" s="1471">
        <f t="shared" si="7"/>
        <v>20.085000000000001</v>
      </c>
      <c r="H71" s="1471">
        <f t="shared" si="4"/>
        <v>20.085000000000001</v>
      </c>
      <c r="I71" s="1191">
        <v>19.3125</v>
      </c>
      <c r="J71" s="1478">
        <f t="shared" si="5"/>
        <v>15144.09</v>
      </c>
      <c r="K71" s="1492">
        <f t="shared" si="0"/>
        <v>18172.907999999999</v>
      </c>
      <c r="M71" s="1121">
        <v>1000000</v>
      </c>
      <c r="N71" s="1121">
        <f t="shared" si="6"/>
        <v>-981827.09199999995</v>
      </c>
      <c r="O71" s="1475">
        <f>J71-'Затраты на ремонт'!G56</f>
        <v>0</v>
      </c>
    </row>
    <row r="72" spans="1:15" ht="18.75">
      <c r="A72" s="1871"/>
      <c r="B72" s="1866"/>
      <c r="C72" s="1158" t="s">
        <v>1138</v>
      </c>
      <c r="D72" s="1218"/>
      <c r="E72" s="1131" t="s">
        <v>683</v>
      </c>
      <c r="F72" s="1131">
        <v>377</v>
      </c>
      <c r="G72" s="1471">
        <f t="shared" si="7"/>
        <v>211.13352</v>
      </c>
      <c r="H72" s="1471">
        <f t="shared" si="4"/>
        <v>211.13352</v>
      </c>
      <c r="I72" s="1191">
        <v>203.01300000000001</v>
      </c>
      <c r="J72" s="1478">
        <f t="shared" si="5"/>
        <v>79597.337039999999</v>
      </c>
      <c r="K72" s="1492">
        <f t="shared" si="0"/>
        <v>95516.804447999995</v>
      </c>
      <c r="M72" s="1121">
        <v>1000000</v>
      </c>
      <c r="N72" s="1121">
        <f t="shared" si="6"/>
        <v>-904483.19555199996</v>
      </c>
      <c r="O72" s="1475">
        <f>J72-'Затраты на ремонт'!G57</f>
        <v>0</v>
      </c>
    </row>
    <row r="73" spans="1:15" ht="18.75">
      <c r="A73" s="1871"/>
      <c r="B73" s="1866"/>
      <c r="C73" s="1136" t="s">
        <v>1350</v>
      </c>
      <c r="D73" s="1218"/>
      <c r="E73" s="1131" t="s">
        <v>683</v>
      </c>
      <c r="F73" s="1131">
        <v>41</v>
      </c>
      <c r="G73" s="1471">
        <f t="shared" si="7"/>
        <v>643.14848000000006</v>
      </c>
      <c r="H73" s="1471">
        <f t="shared" si="4"/>
        <v>643.14848000000006</v>
      </c>
      <c r="I73" s="1191">
        <v>618.41200000000003</v>
      </c>
      <c r="J73" s="1478">
        <f t="shared" si="5"/>
        <v>26369.087680000004</v>
      </c>
      <c r="K73" s="1492">
        <f t="shared" si="0"/>
        <v>31642.905216000003</v>
      </c>
      <c r="L73" s="1157" t="s">
        <v>1341</v>
      </c>
      <c r="M73" s="1121">
        <v>1000000</v>
      </c>
      <c r="N73" s="1121">
        <f t="shared" si="6"/>
        <v>-968357.09478399996</v>
      </c>
      <c r="O73" s="1475">
        <f>J73-'Затраты на ремонт'!G58</f>
        <v>0</v>
      </c>
    </row>
    <row r="74" spans="1:15" ht="22.5" customHeight="1">
      <c r="A74" s="1871"/>
      <c r="B74" s="1866"/>
      <c r="C74" s="1136" t="s">
        <v>1139</v>
      </c>
      <c r="D74" s="1218"/>
      <c r="E74" s="1131" t="s">
        <v>683</v>
      </c>
      <c r="F74" s="1131">
        <v>514</v>
      </c>
      <c r="G74" s="1471">
        <f t="shared" si="7"/>
        <v>187.46</v>
      </c>
      <c r="H74" s="1471">
        <f t="shared" si="4"/>
        <v>187.46</v>
      </c>
      <c r="I74" s="1191">
        <v>180.25</v>
      </c>
      <c r="J74" s="1478">
        <f t="shared" si="5"/>
        <v>96354.44</v>
      </c>
      <c r="K74" s="1492">
        <f t="shared" si="0"/>
        <v>115625.32799999999</v>
      </c>
      <c r="L74" s="1157" t="s">
        <v>1341</v>
      </c>
      <c r="M74" s="1121">
        <v>1000000</v>
      </c>
      <c r="N74" s="1121">
        <f t="shared" si="6"/>
        <v>-884374.67200000002</v>
      </c>
      <c r="O74" s="1475">
        <f>J74-'Затраты на ремонт'!G59</f>
        <v>0</v>
      </c>
    </row>
    <row r="75" spans="1:15" ht="18.75">
      <c r="A75" s="1871"/>
      <c r="B75" s="1866"/>
      <c r="C75" s="1136" t="s">
        <v>1140</v>
      </c>
      <c r="D75" s="1218"/>
      <c r="E75" s="1131" t="s">
        <v>683</v>
      </c>
      <c r="F75" s="1131">
        <v>1208</v>
      </c>
      <c r="G75" s="1471">
        <f t="shared" si="7"/>
        <v>16.496480000000002</v>
      </c>
      <c r="H75" s="1471">
        <f t="shared" si="4"/>
        <v>16.496480000000002</v>
      </c>
      <c r="I75" s="1191">
        <v>15.862</v>
      </c>
      <c r="J75" s="1478">
        <f t="shared" si="5"/>
        <v>19927.747840000004</v>
      </c>
      <c r="K75" s="1492">
        <f t="shared" si="0"/>
        <v>23913.297408000002</v>
      </c>
      <c r="L75" s="1157" t="s">
        <v>1341</v>
      </c>
      <c r="M75" s="1121">
        <v>1000000</v>
      </c>
      <c r="N75" s="1121">
        <f t="shared" si="6"/>
        <v>-976086.70259200002</v>
      </c>
      <c r="O75" s="1475">
        <f>J75-'Затраты на ремонт'!G60</f>
        <v>0</v>
      </c>
    </row>
    <row r="76" spans="1:15" ht="18.75">
      <c r="A76" s="1871"/>
      <c r="B76" s="1866"/>
      <c r="C76" s="1136" t="s">
        <v>1141</v>
      </c>
      <c r="D76" s="1218"/>
      <c r="E76" s="1131" t="s">
        <v>683</v>
      </c>
      <c r="F76" s="1131">
        <v>18</v>
      </c>
      <c r="G76" s="1471">
        <f t="shared" si="7"/>
        <v>357.7808</v>
      </c>
      <c r="H76" s="1471">
        <f t="shared" si="4"/>
        <v>357.7808</v>
      </c>
      <c r="I76" s="1191">
        <v>344.02</v>
      </c>
      <c r="J76" s="1478">
        <f t="shared" si="5"/>
        <v>6440.0544</v>
      </c>
      <c r="K76" s="1492">
        <f t="shared" si="0"/>
        <v>7728.0652799999998</v>
      </c>
      <c r="M76" s="1121">
        <v>1000000</v>
      </c>
      <c r="N76" s="1121">
        <f t="shared" si="6"/>
        <v>-992271.93472000002</v>
      </c>
      <c r="O76" s="1475">
        <f>J76-'Затраты на ремонт'!G61</f>
        <v>0</v>
      </c>
    </row>
    <row r="77" spans="1:15" ht="31.5">
      <c r="A77" s="1871"/>
      <c r="B77" s="1866"/>
      <c r="C77" s="1136" t="s">
        <v>1349</v>
      </c>
      <c r="D77" s="1218"/>
      <c r="E77" s="1131" t="s">
        <v>683</v>
      </c>
      <c r="F77" s="1131">
        <v>1</v>
      </c>
      <c r="G77" s="1471">
        <f t="shared" si="7"/>
        <v>10630.803040000003</v>
      </c>
      <c r="H77" s="1471">
        <f t="shared" si="4"/>
        <v>10630.803040000003</v>
      </c>
      <c r="I77" s="1191">
        <v>10221.926000000001</v>
      </c>
      <c r="J77" s="1478">
        <f t="shared" si="5"/>
        <v>10630.803040000003</v>
      </c>
      <c r="K77" s="1492">
        <f t="shared" si="0"/>
        <v>12756.963648000003</v>
      </c>
      <c r="L77" s="1157" t="s">
        <v>1341</v>
      </c>
      <c r="M77" s="1121">
        <v>1000000</v>
      </c>
      <c r="N77" s="1121">
        <f t="shared" si="6"/>
        <v>-987243.03635199997</v>
      </c>
      <c r="O77" s="1475">
        <f>J77-'Затраты на ремонт'!G62</f>
        <v>0</v>
      </c>
    </row>
    <row r="78" spans="1:15" ht="19.5" customHeight="1">
      <c r="A78" s="1871"/>
      <c r="B78" s="1866"/>
      <c r="C78" s="1136" t="s">
        <v>1348</v>
      </c>
      <c r="D78" s="1218"/>
      <c r="E78" s="1131" t="s">
        <v>683</v>
      </c>
      <c r="F78" s="1131">
        <v>31</v>
      </c>
      <c r="G78" s="1471">
        <f t="shared" si="7"/>
        <v>10.819120000000002</v>
      </c>
      <c r="H78" s="1471">
        <f t="shared" si="4"/>
        <v>10.819120000000002</v>
      </c>
      <c r="I78" s="1191">
        <v>10.403</v>
      </c>
      <c r="J78" s="1478">
        <f t="shared" si="5"/>
        <v>335.39272000000005</v>
      </c>
      <c r="K78" s="1492">
        <f t="shared" si="0"/>
        <v>402.47126400000008</v>
      </c>
      <c r="L78" s="1157" t="s">
        <v>1341</v>
      </c>
      <c r="M78" s="1121">
        <v>1000000</v>
      </c>
      <c r="N78" s="1121">
        <f t="shared" si="6"/>
        <v>-999597.52873599995</v>
      </c>
      <c r="O78" s="1475">
        <f>J78-'Затраты на ремонт'!G63</f>
        <v>0</v>
      </c>
    </row>
    <row r="79" spans="1:15" ht="31.5">
      <c r="A79" s="1871"/>
      <c r="B79" s="1866"/>
      <c r="C79" s="1136" t="s">
        <v>1347</v>
      </c>
      <c r="D79" s="1218"/>
      <c r="E79" s="1131" t="s">
        <v>683</v>
      </c>
      <c r="F79" s="1131">
        <v>31</v>
      </c>
      <c r="G79" s="1471">
        <f t="shared" si="7"/>
        <v>60.844160000000002</v>
      </c>
      <c r="H79" s="1471">
        <f t="shared" si="4"/>
        <v>60.844160000000002</v>
      </c>
      <c r="I79" s="1191">
        <v>58.503999999999998</v>
      </c>
      <c r="J79" s="1478">
        <f t="shared" si="5"/>
        <v>1886.16896</v>
      </c>
      <c r="K79" s="1492">
        <f t="shared" si="0"/>
        <v>2263.402752</v>
      </c>
      <c r="L79" s="1157" t="s">
        <v>1341</v>
      </c>
      <c r="M79" s="1121">
        <v>1000000</v>
      </c>
      <c r="N79" s="1121">
        <f t="shared" si="6"/>
        <v>-997736.59724799998</v>
      </c>
      <c r="O79" s="1475">
        <f>J79-'Затраты на ремонт'!G64</f>
        <v>0</v>
      </c>
    </row>
    <row r="80" spans="1:15" ht="18.75">
      <c r="A80" s="1871"/>
      <c r="B80" s="1866"/>
      <c r="C80" s="1136" t="s">
        <v>1112</v>
      </c>
      <c r="D80" s="1218"/>
      <c r="E80" s="1131" t="s">
        <v>1098</v>
      </c>
      <c r="F80" s="1131">
        <v>1028</v>
      </c>
      <c r="G80" s="1471">
        <f t="shared" si="7"/>
        <v>66.95</v>
      </c>
      <c r="H80" s="1471">
        <f t="shared" si="4"/>
        <v>66.95</v>
      </c>
      <c r="I80" s="1191">
        <v>64.375</v>
      </c>
      <c r="J80" s="1478">
        <f t="shared" si="5"/>
        <v>68824.600000000006</v>
      </c>
      <c r="K80" s="1492">
        <f t="shared" si="0"/>
        <v>82589.52</v>
      </c>
      <c r="L80" s="1128"/>
      <c r="M80" s="1121">
        <v>1000000</v>
      </c>
      <c r="N80" s="1121">
        <f t="shared" si="6"/>
        <v>-917410.48</v>
      </c>
      <c r="O80" s="1475">
        <f>J80-'Затраты на ремонт'!G65</f>
        <v>0</v>
      </c>
    </row>
    <row r="81" spans="1:16" ht="18.75">
      <c r="A81" s="1871"/>
      <c r="B81" s="1866"/>
      <c r="C81" s="1136" t="s">
        <v>1105</v>
      </c>
      <c r="D81" s="1218"/>
      <c r="E81" s="1131" t="s">
        <v>683</v>
      </c>
      <c r="F81" s="1131">
        <v>31</v>
      </c>
      <c r="G81" s="1471">
        <f t="shared" si="7"/>
        <v>25.441000000000003</v>
      </c>
      <c r="H81" s="1471">
        <f t="shared" si="4"/>
        <v>25.441000000000003</v>
      </c>
      <c r="I81" s="1185">
        <v>24.462500000000002</v>
      </c>
      <c r="J81" s="1478">
        <f t="shared" si="5"/>
        <v>788.67100000000005</v>
      </c>
      <c r="K81" s="1492">
        <f t="shared" si="0"/>
        <v>946.40520000000004</v>
      </c>
      <c r="L81" s="1128"/>
      <c r="M81" s="1121">
        <v>1000000</v>
      </c>
      <c r="N81" s="1121">
        <f t="shared" si="6"/>
        <v>-999053.59479999996</v>
      </c>
      <c r="O81" s="1475">
        <f>J81-'Затраты на ремонт'!G66</f>
        <v>0</v>
      </c>
    </row>
    <row r="82" spans="1:16" ht="18.75">
      <c r="A82" s="1871"/>
      <c r="B82" s="1866"/>
      <c r="C82" s="1136" t="s">
        <v>1106</v>
      </c>
      <c r="D82" s="1218"/>
      <c r="E82" s="1131" t="s">
        <v>683</v>
      </c>
      <c r="F82" s="1131">
        <v>31</v>
      </c>
      <c r="G82" s="1471">
        <f t="shared" si="7"/>
        <v>54.406247999999998</v>
      </c>
      <c r="H82" s="1471">
        <f t="shared" si="4"/>
        <v>54.406247999999998</v>
      </c>
      <c r="I82" s="1185">
        <v>52.313699999999997</v>
      </c>
      <c r="J82" s="1478">
        <f t="shared" si="5"/>
        <v>1686.5936879999999</v>
      </c>
      <c r="K82" s="1492">
        <f t="shared" si="0"/>
        <v>2023.9124255999998</v>
      </c>
      <c r="L82" s="1128"/>
      <c r="M82" s="1121">
        <v>1000000</v>
      </c>
      <c r="N82" s="1121">
        <f t="shared" si="6"/>
        <v>-997976.08757440001</v>
      </c>
      <c r="O82" s="1475">
        <f>J82-'Затраты на ремонт'!G67</f>
        <v>0</v>
      </c>
    </row>
    <row r="83" spans="1:16" ht="18.75">
      <c r="A83" s="1871"/>
      <c r="B83" s="1866"/>
      <c r="C83" s="1136" t="s">
        <v>1107</v>
      </c>
      <c r="D83" s="1218"/>
      <c r="E83" s="1131" t="s">
        <v>683</v>
      </c>
      <c r="F83" s="1131">
        <v>31</v>
      </c>
      <c r="G83" s="1471">
        <f t="shared" si="7"/>
        <v>101.33552</v>
      </c>
      <c r="H83" s="1471">
        <f t="shared" si="4"/>
        <v>101.33552</v>
      </c>
      <c r="I83" s="1191">
        <v>97.438000000000002</v>
      </c>
      <c r="J83" s="1478">
        <f t="shared" si="5"/>
        <v>3141.40112</v>
      </c>
      <c r="K83" s="1492">
        <f t="shared" si="0"/>
        <v>3769.6813439999996</v>
      </c>
      <c r="L83" s="1128"/>
      <c r="M83" s="1121">
        <v>1000000</v>
      </c>
      <c r="N83" s="1121">
        <f t="shared" si="6"/>
        <v>-996230.31865599996</v>
      </c>
      <c r="O83" s="1475">
        <f>J83-'Затраты на ремонт'!G68</f>
        <v>0</v>
      </c>
    </row>
    <row r="84" spans="1:16" ht="18.75">
      <c r="A84" s="1871"/>
      <c r="B84" s="1866"/>
      <c r="C84" s="1136" t="s">
        <v>1108</v>
      </c>
      <c r="D84" s="1218"/>
      <c r="E84" s="1131" t="s">
        <v>683</v>
      </c>
      <c r="F84" s="1131">
        <v>31</v>
      </c>
      <c r="G84" s="1471">
        <f t="shared" si="7"/>
        <v>49.296624000000008</v>
      </c>
      <c r="H84" s="1471">
        <f t="shared" si="4"/>
        <v>49.296624000000008</v>
      </c>
      <c r="I84" s="1185">
        <v>47.400600000000004</v>
      </c>
      <c r="J84" s="1478">
        <f t="shared" si="5"/>
        <v>1528.1953440000002</v>
      </c>
      <c r="K84" s="1492">
        <f t="shared" si="0"/>
        <v>1833.8344128000001</v>
      </c>
      <c r="L84" s="1128"/>
      <c r="M84" s="1121">
        <v>1000000</v>
      </c>
      <c r="N84" s="1121">
        <f t="shared" si="6"/>
        <v>-998166.16558719997</v>
      </c>
      <c r="O84" s="1475">
        <f>J84-'Затраты на ремонт'!G69</f>
        <v>0</v>
      </c>
    </row>
    <row r="85" spans="1:16" ht="18.75">
      <c r="A85" s="1871"/>
      <c r="B85" s="1866"/>
      <c r="C85" s="1136" t="s">
        <v>1109</v>
      </c>
      <c r="D85" s="1218"/>
      <c r="E85" s="1131" t="s">
        <v>683</v>
      </c>
      <c r="F85" s="1131">
        <v>31</v>
      </c>
      <c r="G85" s="1471">
        <f t="shared" si="7"/>
        <v>67.689128000000011</v>
      </c>
      <c r="H85" s="1471">
        <f t="shared" si="4"/>
        <v>67.689128000000011</v>
      </c>
      <c r="I85" s="1185">
        <v>65.085700000000003</v>
      </c>
      <c r="J85" s="1478">
        <f t="shared" si="5"/>
        <v>2098.3629680000004</v>
      </c>
      <c r="K85" s="1492">
        <f t="shared" si="0"/>
        <v>2518.0355616000002</v>
      </c>
      <c r="L85" s="1128"/>
      <c r="M85" s="1121">
        <v>1000000</v>
      </c>
      <c r="N85" s="1121">
        <f t="shared" si="6"/>
        <v>-997481.9644384</v>
      </c>
      <c r="O85" s="1475">
        <f>J85-'Затраты на ремонт'!G70</f>
        <v>0</v>
      </c>
    </row>
    <row r="86" spans="1:16" ht="31.5">
      <c r="A86" s="1871"/>
      <c r="B86" s="1866"/>
      <c r="C86" s="1136" t="s">
        <v>1142</v>
      </c>
      <c r="D86" s="1218"/>
      <c r="E86" s="1131" t="s">
        <v>683</v>
      </c>
      <c r="F86" s="1131">
        <v>0</v>
      </c>
      <c r="G86" s="1471">
        <f t="shared" si="7"/>
        <v>187.46</v>
      </c>
      <c r="H86" s="1471">
        <f t="shared" si="4"/>
        <v>187.46</v>
      </c>
      <c r="I86" s="1191">
        <v>180.25</v>
      </c>
      <c r="J86" s="1478">
        <f t="shared" si="5"/>
        <v>0</v>
      </c>
      <c r="K86" s="1492">
        <f t="shared" si="0"/>
        <v>0</v>
      </c>
      <c r="L86" s="1148" t="s">
        <v>1346</v>
      </c>
      <c r="M86" s="1121">
        <v>1000000</v>
      </c>
      <c r="N86" s="1121">
        <f t="shared" si="6"/>
        <v>-1000000</v>
      </c>
      <c r="O86" s="1475">
        <f>J86-'Затраты на ремонт'!G71</f>
        <v>0</v>
      </c>
    </row>
    <row r="87" spans="1:16" ht="18.75">
      <c r="A87" s="1871"/>
      <c r="B87" s="1866"/>
      <c r="C87" s="1151" t="s">
        <v>1143</v>
      </c>
      <c r="D87" s="1218"/>
      <c r="E87" s="1150" t="s">
        <v>1098</v>
      </c>
      <c r="F87" s="1150">
        <v>257</v>
      </c>
      <c r="G87" s="1471">
        <f t="shared" si="7"/>
        <v>0</v>
      </c>
      <c r="H87" s="1471">
        <f t="shared" si="4"/>
        <v>0</v>
      </c>
      <c r="I87" s="1192"/>
      <c r="J87" s="1478">
        <f t="shared" si="5"/>
        <v>0</v>
      </c>
      <c r="K87" s="1492">
        <f t="shared" ref="K87:K133" si="8">J87*1.2</f>
        <v>0</v>
      </c>
      <c r="L87" s="1128"/>
      <c r="M87" s="1121">
        <v>1000000</v>
      </c>
      <c r="N87" s="1121">
        <f t="shared" si="6"/>
        <v>-1000000</v>
      </c>
      <c r="O87" s="1475">
        <f>J87-'Затраты на ремонт'!G72</f>
        <v>0</v>
      </c>
    </row>
    <row r="88" spans="1:16" ht="18.75">
      <c r="A88" s="1871"/>
      <c r="B88" s="1866"/>
      <c r="C88" s="1151" t="s">
        <v>1118</v>
      </c>
      <c r="D88" s="1218"/>
      <c r="E88" s="1150" t="s">
        <v>1098</v>
      </c>
      <c r="F88" s="1150">
        <v>93</v>
      </c>
      <c r="G88" s="1471">
        <f t="shared" si="7"/>
        <v>0</v>
      </c>
      <c r="H88" s="1471">
        <f t="shared" si="4"/>
        <v>0</v>
      </c>
      <c r="I88" s="1192"/>
      <c r="J88" s="1478">
        <f t="shared" si="5"/>
        <v>0</v>
      </c>
      <c r="K88" s="1492">
        <f t="shared" si="8"/>
        <v>0</v>
      </c>
      <c r="L88" s="1128"/>
      <c r="M88" s="1121">
        <v>1000000</v>
      </c>
      <c r="N88" s="1121">
        <f t="shared" si="6"/>
        <v>-1000000</v>
      </c>
      <c r="O88" s="1475">
        <f>J88-'Затраты на ремонт'!G73</f>
        <v>0</v>
      </c>
    </row>
    <row r="89" spans="1:16" ht="31.5" customHeight="1">
      <c r="A89" s="1871"/>
      <c r="B89" s="1866"/>
      <c r="C89" s="1136" t="s">
        <v>1144</v>
      </c>
      <c r="D89" s="1218"/>
      <c r="E89" s="1131" t="s">
        <v>683</v>
      </c>
      <c r="F89" s="1131">
        <v>14</v>
      </c>
      <c r="G89" s="1471">
        <f t="shared" si="7"/>
        <v>6724.3294560000004</v>
      </c>
      <c r="H89" s="1471">
        <f t="shared" si="4"/>
        <v>6724.3294560000004</v>
      </c>
      <c r="I89" s="1191">
        <v>6465.7013999999999</v>
      </c>
      <c r="J89" s="1478">
        <f>F89*G89</f>
        <v>94140.612384000007</v>
      </c>
      <c r="K89" s="1492">
        <f t="shared" si="8"/>
        <v>112968.7348608</v>
      </c>
      <c r="L89" s="1128"/>
      <c r="M89" s="1121">
        <v>1000000</v>
      </c>
      <c r="N89" s="1121">
        <f t="shared" si="6"/>
        <v>-887031.26513920003</v>
      </c>
      <c r="O89" s="1475">
        <f>J89-'Затраты на ремонт'!G74</f>
        <v>0</v>
      </c>
    </row>
    <row r="90" spans="1:16" ht="17.25" customHeight="1">
      <c r="A90" s="1871"/>
      <c r="B90" s="1866"/>
      <c r="C90" s="1156" t="s">
        <v>1345</v>
      </c>
      <c r="D90" s="1218"/>
      <c r="E90" s="1146" t="s">
        <v>1116</v>
      </c>
      <c r="F90" s="1146">
        <v>754</v>
      </c>
      <c r="G90" s="1471">
        <f t="shared" si="7"/>
        <v>0</v>
      </c>
      <c r="H90" s="1471">
        <f t="shared" si="4"/>
        <v>0</v>
      </c>
      <c r="I90" s="1193"/>
      <c r="J90" s="1478">
        <f t="shared" si="5"/>
        <v>0</v>
      </c>
      <c r="K90" s="1492">
        <f>SUM(K51:K89)</f>
        <v>2455698.4444512003</v>
      </c>
      <c r="M90" s="1121">
        <v>1000000</v>
      </c>
      <c r="N90" s="1121">
        <f>K90-M90</f>
        <v>1455698.4444512003</v>
      </c>
      <c r="O90" s="1475">
        <f>J90-'Затраты на ремонт'!G75</f>
        <v>0</v>
      </c>
    </row>
    <row r="91" spans="1:16" ht="17.25" customHeight="1" thickBot="1">
      <c r="A91" s="1871"/>
      <c r="B91" s="1866"/>
      <c r="C91" s="1618"/>
      <c r="D91" s="1218"/>
      <c r="E91" s="1146"/>
      <c r="F91" s="1146"/>
      <c r="G91" s="1471"/>
      <c r="H91" s="1471"/>
      <c r="I91" s="1193"/>
      <c r="J91" s="1478"/>
      <c r="K91" s="1492">
        <f>SUM(K51:K90)</f>
        <v>4911396.8889024006</v>
      </c>
      <c r="O91" s="1475"/>
    </row>
    <row r="92" spans="1:16" ht="24" customHeight="1" thickBot="1">
      <c r="A92" s="1871"/>
      <c r="B92" s="1866"/>
      <c r="C92" s="1615" t="s">
        <v>1519</v>
      </c>
      <c r="D92" s="1496"/>
      <c r="E92" s="1131" t="s">
        <v>683</v>
      </c>
      <c r="F92" s="1497">
        <v>489</v>
      </c>
      <c r="G92" s="1498">
        <v>11525.43</v>
      </c>
      <c r="H92" s="1145"/>
      <c r="I92" s="1193"/>
      <c r="J92" s="1478">
        <f t="shared" ref="J92:J93" si="9">F92*G92</f>
        <v>5635935.2700000005</v>
      </c>
      <c r="K92" s="1492">
        <f t="shared" si="8"/>
        <v>6763122.324</v>
      </c>
      <c r="P92" s="1475">
        <f>J92-'Затраты на ремонт'!G76</f>
        <v>5635935.2700000005</v>
      </c>
    </row>
    <row r="93" spans="1:16" ht="25.5" customHeight="1" thickBot="1">
      <c r="A93" s="1871"/>
      <c r="B93" s="1866"/>
      <c r="C93" s="1614" t="s">
        <v>1517</v>
      </c>
      <c r="D93" s="1496"/>
      <c r="E93" s="1131" t="s">
        <v>683</v>
      </c>
      <c r="F93" s="1497">
        <v>42</v>
      </c>
      <c r="G93" s="1498">
        <v>14914.58</v>
      </c>
      <c r="H93" s="1145"/>
      <c r="I93" s="1193"/>
      <c r="J93" s="1478">
        <f t="shared" si="9"/>
        <v>626412.36</v>
      </c>
      <c r="K93" s="1492">
        <f t="shared" si="8"/>
        <v>751694.83199999994</v>
      </c>
      <c r="M93" s="1121">
        <f>F92/16</f>
        <v>30.5625</v>
      </c>
      <c r="P93" s="1475">
        <f>J93-'Затраты на ремонт'!G77</f>
        <v>626412.36</v>
      </c>
    </row>
    <row r="94" spans="1:16" ht="27" customHeight="1" thickBot="1">
      <c r="A94" s="1871"/>
      <c r="B94" s="1872"/>
      <c r="C94" s="1617" t="s">
        <v>1518</v>
      </c>
      <c r="D94" s="1616"/>
      <c r="E94" s="1131" t="s">
        <v>683</v>
      </c>
      <c r="F94" s="1497">
        <v>6</v>
      </c>
      <c r="G94" s="1145">
        <f>10793.64</f>
        <v>10793.64</v>
      </c>
      <c r="H94" s="1284"/>
      <c r="I94" s="1192"/>
      <c r="J94" s="1478">
        <f>F94*G94</f>
        <v>64761.84</v>
      </c>
      <c r="K94" s="1492">
        <f t="shared" si="8"/>
        <v>77714.207999999999</v>
      </c>
      <c r="L94" s="1128"/>
      <c r="O94" s="1475"/>
    </row>
    <row r="95" spans="1:16" ht="19.5" thickBot="1">
      <c r="A95" s="1155" t="s">
        <v>248</v>
      </c>
      <c r="B95" s="1868" t="s">
        <v>419</v>
      </c>
      <c r="C95" s="1873"/>
      <c r="D95" s="1868"/>
      <c r="E95" s="1868"/>
      <c r="F95" s="1868"/>
      <c r="G95" s="1874"/>
      <c r="H95" s="1874"/>
      <c r="I95" s="1875"/>
      <c r="J95" s="1483"/>
      <c r="K95" s="1492"/>
      <c r="L95" s="1128"/>
      <c r="O95" s="1475"/>
    </row>
    <row r="96" spans="1:16" ht="19.5" thickBot="1">
      <c r="A96" s="1875" t="s">
        <v>293</v>
      </c>
      <c r="B96" s="1875"/>
      <c r="C96" s="1875"/>
      <c r="D96" s="1875"/>
      <c r="E96" s="1875"/>
      <c r="F96" s="1875"/>
      <c r="G96" s="1875"/>
      <c r="H96" s="1875"/>
      <c r="I96" s="1875"/>
      <c r="J96" s="1876"/>
      <c r="K96" s="1492"/>
      <c r="L96" s="1129"/>
      <c r="O96" s="1475"/>
    </row>
    <row r="97" spans="1:15" ht="19.5" thickBot="1">
      <c r="A97" s="1499" t="s">
        <v>301</v>
      </c>
      <c r="B97" s="1865" t="s">
        <v>420</v>
      </c>
      <c r="C97" s="1868" t="s">
        <v>418</v>
      </c>
      <c r="D97" s="1868"/>
      <c r="E97" s="1868"/>
      <c r="F97" s="1868"/>
      <c r="G97" s="1869"/>
      <c r="H97" s="1869"/>
      <c r="I97" s="1869"/>
      <c r="J97" s="1481"/>
      <c r="K97" s="1492"/>
      <c r="L97" s="1128"/>
      <c r="O97" s="1475"/>
    </row>
    <row r="98" spans="1:15" ht="18.75">
      <c r="A98" s="1499"/>
      <c r="B98" s="1866"/>
      <c r="C98" s="1136" t="s">
        <v>1145</v>
      </c>
      <c r="D98" s="1218"/>
      <c r="E98" s="1131" t="s">
        <v>1098</v>
      </c>
      <c r="F98" s="1131">
        <v>75</v>
      </c>
      <c r="G98" s="1471">
        <f t="shared" ref="G98:G101" si="10">H98</f>
        <v>592.48072000000002</v>
      </c>
      <c r="H98" s="1471">
        <f t="shared" ref="H98:H101" si="11">I98*$M$22</f>
        <v>592.48072000000002</v>
      </c>
      <c r="I98" s="1191">
        <v>569.69299999999998</v>
      </c>
      <c r="J98" s="1478">
        <f t="shared" ref="J98:J101" si="12">F98*G98</f>
        <v>44436.054000000004</v>
      </c>
      <c r="K98" s="1492">
        <f t="shared" si="8"/>
        <v>53323.264800000004</v>
      </c>
      <c r="O98" s="1475">
        <f>J98-'Затраты на ремонт'!G81</f>
        <v>0</v>
      </c>
    </row>
    <row r="99" spans="1:15" ht="33" customHeight="1">
      <c r="A99" s="1499"/>
      <c r="B99" s="1866"/>
      <c r="C99" s="1136" t="s">
        <v>1146</v>
      </c>
      <c r="D99" s="1218"/>
      <c r="E99" s="1131" t="s">
        <v>683</v>
      </c>
      <c r="F99" s="1131">
        <v>5</v>
      </c>
      <c r="G99" s="1471">
        <f t="shared" si="10"/>
        <v>4544.9944800000003</v>
      </c>
      <c r="H99" s="1471">
        <f t="shared" si="11"/>
        <v>4544.9944800000003</v>
      </c>
      <c r="I99" s="1191">
        <v>4370.1869999999999</v>
      </c>
      <c r="J99" s="1478">
        <f t="shared" si="12"/>
        <v>22724.972400000002</v>
      </c>
      <c r="K99" s="1492">
        <f t="shared" si="8"/>
        <v>27269.966880000004</v>
      </c>
      <c r="O99" s="1475">
        <f>J99-'Затраты на ремонт'!G82</f>
        <v>0</v>
      </c>
    </row>
    <row r="100" spans="1:15" ht="18.75">
      <c r="A100" s="1499"/>
      <c r="B100" s="1866"/>
      <c r="C100" s="1135" t="s">
        <v>1147</v>
      </c>
      <c r="D100" s="1218"/>
      <c r="E100" s="1131" t="s">
        <v>683</v>
      </c>
      <c r="F100" s="1131">
        <v>6</v>
      </c>
      <c r="G100" s="1471">
        <f t="shared" si="10"/>
        <v>5117.2295200000008</v>
      </c>
      <c r="H100" s="1471">
        <f t="shared" si="11"/>
        <v>5117.2295200000008</v>
      </c>
      <c r="I100" s="1191">
        <v>4920.4130000000005</v>
      </c>
      <c r="J100" s="1478">
        <f t="shared" si="12"/>
        <v>30703.377120000005</v>
      </c>
      <c r="K100" s="1492">
        <f t="shared" si="8"/>
        <v>36844.052544000006</v>
      </c>
      <c r="O100" s="1475">
        <f>J100-'Затраты на ремонт'!G83</f>
        <v>0</v>
      </c>
    </row>
    <row r="101" spans="1:15" ht="18.75">
      <c r="A101" s="1155"/>
      <c r="B101" s="1866"/>
      <c r="C101" s="1132" t="s">
        <v>1148</v>
      </c>
      <c r="D101" s="1218"/>
      <c r="E101" s="1131" t="s">
        <v>683</v>
      </c>
      <c r="F101" s="1131">
        <v>19</v>
      </c>
      <c r="G101" s="1471">
        <f t="shared" si="10"/>
        <v>51.953200000000002</v>
      </c>
      <c r="H101" s="1471">
        <f t="shared" si="11"/>
        <v>51.953200000000002</v>
      </c>
      <c r="I101" s="1191">
        <v>49.954999999999998</v>
      </c>
      <c r="J101" s="1478">
        <f t="shared" si="12"/>
        <v>987.11080000000004</v>
      </c>
      <c r="K101" s="1492">
        <f t="shared" si="8"/>
        <v>1184.53296</v>
      </c>
      <c r="O101" s="1475">
        <f>J101-'Затраты на ремонт'!G84</f>
        <v>0</v>
      </c>
    </row>
    <row r="102" spans="1:15" ht="18.75">
      <c r="A102" s="1155"/>
      <c r="B102" s="1866"/>
      <c r="C102" s="1149"/>
      <c r="D102" s="1219"/>
      <c r="E102" s="1154"/>
      <c r="F102" s="1154"/>
      <c r="G102" s="1285"/>
      <c r="H102" s="1285"/>
      <c r="I102" s="1194"/>
      <c r="J102" s="1484"/>
      <c r="K102" s="1492">
        <f t="shared" si="8"/>
        <v>0</v>
      </c>
      <c r="O102" s="1475">
        <f>J102-'Затраты на ремонт'!G85</f>
        <v>0</v>
      </c>
    </row>
    <row r="103" spans="1:15" ht="18.75">
      <c r="A103" s="1155"/>
      <c r="B103" s="1866"/>
      <c r="C103" s="1149"/>
      <c r="D103" s="1219"/>
      <c r="E103" s="1154"/>
      <c r="F103" s="1154"/>
      <c r="G103" s="1285"/>
      <c r="H103" s="1285"/>
      <c r="I103" s="1194"/>
      <c r="J103" s="1484"/>
      <c r="K103" s="1492">
        <f t="shared" si="8"/>
        <v>0</v>
      </c>
      <c r="O103" s="1475"/>
    </row>
    <row r="104" spans="1:15" ht="18.75">
      <c r="A104" s="1155"/>
      <c r="B104" s="1866"/>
      <c r="C104" s="1149"/>
      <c r="D104" s="1219"/>
      <c r="E104" s="1154"/>
      <c r="F104" s="1154"/>
      <c r="G104" s="1285"/>
      <c r="H104" s="1285"/>
      <c r="I104" s="1194"/>
      <c r="J104" s="1484"/>
      <c r="K104" s="1492">
        <f t="shared" si="8"/>
        <v>0</v>
      </c>
      <c r="O104" s="1475"/>
    </row>
    <row r="105" spans="1:15" ht="19.5" thickBot="1">
      <c r="A105" s="1155"/>
      <c r="B105" s="1867"/>
      <c r="C105" s="1149"/>
      <c r="D105" s="1219"/>
      <c r="E105" s="1154"/>
      <c r="F105" s="1154"/>
      <c r="G105" s="1285"/>
      <c r="H105" s="1285"/>
      <c r="I105" s="1194"/>
      <c r="J105" s="1482"/>
      <c r="K105" s="1492">
        <f t="shared" si="8"/>
        <v>0</v>
      </c>
      <c r="L105" s="1128"/>
      <c r="O105" s="1475"/>
    </row>
    <row r="106" spans="1:15" ht="19.5" thickBot="1">
      <c r="A106" s="1143" t="s">
        <v>302</v>
      </c>
      <c r="B106" s="1860" t="s">
        <v>419</v>
      </c>
      <c r="C106" s="1860"/>
      <c r="D106" s="1860"/>
      <c r="E106" s="1860"/>
      <c r="F106" s="1860"/>
      <c r="G106" s="1861"/>
      <c r="H106" s="1861"/>
      <c r="I106" s="1861"/>
      <c r="J106" s="1480"/>
      <c r="K106" s="1492">
        <f t="shared" si="8"/>
        <v>0</v>
      </c>
      <c r="L106" s="1128"/>
      <c r="O106" s="1475"/>
    </row>
    <row r="107" spans="1:15" ht="19.5" thickBot="1">
      <c r="A107" s="1870" t="s">
        <v>294</v>
      </c>
      <c r="B107" s="1870"/>
      <c r="C107" s="1870"/>
      <c r="D107" s="1870"/>
      <c r="E107" s="1870"/>
      <c r="F107" s="1870"/>
      <c r="G107" s="1870"/>
      <c r="H107" s="1870"/>
      <c r="I107" s="1870"/>
      <c r="J107" s="1870"/>
      <c r="K107" s="1492">
        <f t="shared" si="8"/>
        <v>0</v>
      </c>
      <c r="L107" s="1129"/>
      <c r="O107" s="1475"/>
    </row>
    <row r="108" spans="1:15" ht="19.5" thickBot="1">
      <c r="A108" s="1856" t="s">
        <v>303</v>
      </c>
      <c r="B108" s="1857" t="s">
        <v>420</v>
      </c>
      <c r="C108" s="1868" t="s">
        <v>418</v>
      </c>
      <c r="D108" s="1868"/>
      <c r="E108" s="1868"/>
      <c r="F108" s="1868"/>
      <c r="G108" s="1869"/>
      <c r="H108" s="1869"/>
      <c r="I108" s="1869"/>
      <c r="J108" s="1481"/>
      <c r="K108" s="1492">
        <f t="shared" si="8"/>
        <v>0</v>
      </c>
      <c r="L108" s="1128"/>
      <c r="O108" s="1475"/>
    </row>
    <row r="109" spans="1:15" ht="18.75">
      <c r="A109" s="1856"/>
      <c r="B109" s="1858"/>
      <c r="C109" s="1136" t="s">
        <v>1152</v>
      </c>
      <c r="D109" s="1218"/>
      <c r="E109" s="1131" t="s">
        <v>1098</v>
      </c>
      <c r="F109" s="1131">
        <v>302</v>
      </c>
      <c r="G109" s="1471">
        <f t="shared" ref="G109:G124" si="13">H109</f>
        <v>527.75881600000002</v>
      </c>
      <c r="H109" s="1471">
        <f t="shared" ref="H109:H124" si="14">I109*$M$22</f>
        <v>527.75881600000002</v>
      </c>
      <c r="I109" s="1191">
        <v>507.46039999999999</v>
      </c>
      <c r="J109" s="1478">
        <f t="shared" ref="J109:J124" si="15">F109*G109</f>
        <v>159383.16243200001</v>
      </c>
      <c r="K109" s="1492">
        <f t="shared" si="8"/>
        <v>191259.7949184</v>
      </c>
      <c r="L109" s="1128"/>
      <c r="O109" s="1475">
        <f>J109-'Затраты на ремонт'!G95</f>
        <v>0</v>
      </c>
    </row>
    <row r="110" spans="1:15" ht="18" customHeight="1">
      <c r="A110" s="1856"/>
      <c r="B110" s="1858"/>
      <c r="C110" s="1153" t="s">
        <v>1153</v>
      </c>
      <c r="D110" s="1218"/>
      <c r="E110" s="1152" t="s">
        <v>1124</v>
      </c>
      <c r="F110" s="1152">
        <v>91</v>
      </c>
      <c r="G110" s="1471">
        <f t="shared" si="13"/>
        <v>0</v>
      </c>
      <c r="H110" s="1471">
        <f t="shared" si="14"/>
        <v>0</v>
      </c>
      <c r="I110" s="1195">
        <v>0</v>
      </c>
      <c r="J110" s="1478">
        <f t="shared" si="15"/>
        <v>0</v>
      </c>
      <c r="K110" s="1492">
        <f t="shared" si="8"/>
        <v>0</v>
      </c>
      <c r="L110" s="1148" t="s">
        <v>1344</v>
      </c>
      <c r="O110" s="1475">
        <f>J110-'Затраты на ремонт'!G93</f>
        <v>0</v>
      </c>
    </row>
    <row r="111" spans="1:15" ht="18.75">
      <c r="A111" s="1856"/>
      <c r="B111" s="1858"/>
      <c r="C111" s="1151" t="s">
        <v>1154</v>
      </c>
      <c r="D111" s="1218"/>
      <c r="E111" s="1150" t="s">
        <v>683</v>
      </c>
      <c r="F111" s="1150">
        <v>6</v>
      </c>
      <c r="G111" s="1471">
        <f t="shared" si="13"/>
        <v>0</v>
      </c>
      <c r="H111" s="1471">
        <f t="shared" si="14"/>
        <v>0</v>
      </c>
      <c r="I111" s="1192">
        <v>0</v>
      </c>
      <c r="J111" s="1478">
        <f t="shared" si="15"/>
        <v>0</v>
      </c>
      <c r="K111" s="1492">
        <f t="shared" si="8"/>
        <v>0</v>
      </c>
      <c r="L111" s="1128"/>
      <c r="O111" s="1475">
        <f>J111-'Затраты на ремонт'!G97</f>
        <v>0</v>
      </c>
    </row>
    <row r="112" spans="1:15" ht="18.75">
      <c r="A112" s="1856"/>
      <c r="B112" s="1858"/>
      <c r="C112" s="1151" t="s">
        <v>1155</v>
      </c>
      <c r="D112" s="1218"/>
      <c r="E112" s="1150" t="s">
        <v>683</v>
      </c>
      <c r="F112" s="1150">
        <v>12</v>
      </c>
      <c r="G112" s="1471">
        <f t="shared" si="13"/>
        <v>0</v>
      </c>
      <c r="H112" s="1471">
        <f t="shared" si="14"/>
        <v>0</v>
      </c>
      <c r="I112" s="1192">
        <v>0</v>
      </c>
      <c r="J112" s="1478">
        <f t="shared" si="15"/>
        <v>0</v>
      </c>
      <c r="K112" s="1492">
        <f t="shared" si="8"/>
        <v>0</v>
      </c>
      <c r="L112" s="1128"/>
      <c r="O112" s="1475">
        <f>J112-'Затраты на ремонт'!G98</f>
        <v>0</v>
      </c>
    </row>
    <row r="113" spans="1:15" ht="18" customHeight="1">
      <c r="A113" s="1856"/>
      <c r="B113" s="1858"/>
      <c r="C113" s="1136" t="s">
        <v>1156</v>
      </c>
      <c r="D113" s="1218"/>
      <c r="E113" s="1131" t="s">
        <v>1098</v>
      </c>
      <c r="F113" s="1131">
        <v>302</v>
      </c>
      <c r="G113" s="1471">
        <f t="shared" si="13"/>
        <v>10.176400000000001</v>
      </c>
      <c r="H113" s="1471">
        <f t="shared" si="14"/>
        <v>10.176400000000001</v>
      </c>
      <c r="I113" s="1191">
        <v>9.7850000000000001</v>
      </c>
      <c r="J113" s="1478">
        <f t="shared" si="15"/>
        <v>3073.2728000000002</v>
      </c>
      <c r="K113" s="1492">
        <f t="shared" si="8"/>
        <v>3687.9273600000001</v>
      </c>
      <c r="L113" s="1148" t="s">
        <v>1341</v>
      </c>
      <c r="O113" s="1475">
        <f>J113-'Затраты на ремонт'!G99</f>
        <v>0</v>
      </c>
    </row>
    <row r="114" spans="1:15" ht="18.75">
      <c r="A114" s="1856"/>
      <c r="B114" s="1858"/>
      <c r="C114" s="1132" t="s">
        <v>1157</v>
      </c>
      <c r="D114" s="1218"/>
      <c r="E114" s="1131" t="s">
        <v>683</v>
      </c>
      <c r="F114" s="1131">
        <v>68</v>
      </c>
      <c r="G114" s="1471">
        <f t="shared" si="13"/>
        <v>8.2482400000000009</v>
      </c>
      <c r="H114" s="1471">
        <f t="shared" si="14"/>
        <v>8.2482400000000009</v>
      </c>
      <c r="I114" s="1191">
        <v>7.931</v>
      </c>
      <c r="J114" s="1478">
        <f t="shared" si="15"/>
        <v>560.8803200000001</v>
      </c>
      <c r="K114" s="1492">
        <f t="shared" si="8"/>
        <v>673.05638400000009</v>
      </c>
      <c r="L114" s="1128"/>
      <c r="O114" s="1475">
        <f>J114-'Затраты на ремонт'!G100</f>
        <v>0</v>
      </c>
    </row>
    <row r="115" spans="1:15" ht="18.75">
      <c r="A115" s="1856"/>
      <c r="B115" s="1858"/>
      <c r="C115" s="1147" t="s">
        <v>1158</v>
      </c>
      <c r="D115" s="1218"/>
      <c r="E115" s="1131" t="s">
        <v>683</v>
      </c>
      <c r="F115" s="1131">
        <v>23</v>
      </c>
      <c r="G115" s="1471">
        <f t="shared" si="13"/>
        <v>9.426560000000002</v>
      </c>
      <c r="H115" s="1471">
        <f t="shared" si="14"/>
        <v>9.426560000000002</v>
      </c>
      <c r="I115" s="1191">
        <v>9.0640000000000018</v>
      </c>
      <c r="J115" s="1478">
        <f t="shared" si="15"/>
        <v>216.81088000000005</v>
      </c>
      <c r="K115" s="1492">
        <f t="shared" si="8"/>
        <v>260.17305600000003</v>
      </c>
      <c r="L115" s="1128"/>
      <c r="O115" s="1475">
        <f>J115-'Затраты на ремонт'!G101</f>
        <v>0</v>
      </c>
    </row>
    <row r="116" spans="1:15" ht="18.75">
      <c r="A116" s="1856"/>
      <c r="B116" s="1858"/>
      <c r="C116" s="1147" t="s">
        <v>1159</v>
      </c>
      <c r="D116" s="1218"/>
      <c r="E116" s="1131" t="s">
        <v>683</v>
      </c>
      <c r="F116" s="1131">
        <v>45</v>
      </c>
      <c r="G116" s="1471">
        <f t="shared" si="13"/>
        <v>9.6408000000000005</v>
      </c>
      <c r="H116" s="1471">
        <f t="shared" si="14"/>
        <v>9.6408000000000005</v>
      </c>
      <c r="I116" s="1191">
        <v>9.27</v>
      </c>
      <c r="J116" s="1478">
        <f t="shared" si="15"/>
        <v>433.83600000000001</v>
      </c>
      <c r="K116" s="1492">
        <f t="shared" si="8"/>
        <v>520.60320000000002</v>
      </c>
      <c r="L116" s="1128"/>
      <c r="O116" s="1475">
        <f>J116-'Затраты на ремонт'!G102</f>
        <v>0</v>
      </c>
    </row>
    <row r="117" spans="1:15" ht="18.75">
      <c r="A117" s="1856"/>
      <c r="B117" s="1858"/>
      <c r="C117" s="1132" t="s">
        <v>1160</v>
      </c>
      <c r="D117" s="1218"/>
      <c r="E117" s="1131" t="s">
        <v>683</v>
      </c>
      <c r="F117" s="1131">
        <v>45</v>
      </c>
      <c r="G117" s="1471">
        <f t="shared" si="13"/>
        <v>11.997439999999999</v>
      </c>
      <c r="H117" s="1471">
        <f t="shared" si="14"/>
        <v>11.997439999999999</v>
      </c>
      <c r="I117" s="1191">
        <v>11.536</v>
      </c>
      <c r="J117" s="1478">
        <f t="shared" si="15"/>
        <v>539.88479999999993</v>
      </c>
      <c r="K117" s="1492">
        <f t="shared" si="8"/>
        <v>647.86175999999989</v>
      </c>
      <c r="L117" s="1128"/>
      <c r="O117" s="1475">
        <f>J117-'Затраты на ремонт'!G103</f>
        <v>0</v>
      </c>
    </row>
    <row r="118" spans="1:15" ht="18.75">
      <c r="A118" s="1856"/>
      <c r="B118" s="1858"/>
      <c r="C118" s="1132" t="s">
        <v>1161</v>
      </c>
      <c r="D118" s="1218"/>
      <c r="E118" s="1131" t="s">
        <v>683</v>
      </c>
      <c r="F118" s="1131">
        <v>45</v>
      </c>
      <c r="G118" s="1471">
        <f t="shared" si="13"/>
        <v>15.960880000000001</v>
      </c>
      <c r="H118" s="1471">
        <f t="shared" si="14"/>
        <v>15.960880000000001</v>
      </c>
      <c r="I118" s="1191">
        <v>15.347000000000001</v>
      </c>
      <c r="J118" s="1478">
        <f t="shared" si="15"/>
        <v>718.23960000000011</v>
      </c>
      <c r="K118" s="1492">
        <f t="shared" si="8"/>
        <v>861.88752000000011</v>
      </c>
      <c r="L118" s="1128"/>
      <c r="O118" s="1475">
        <f>J118-'Затраты на ремонт'!G104</f>
        <v>0</v>
      </c>
    </row>
    <row r="119" spans="1:15" ht="18.75">
      <c r="A119" s="1856"/>
      <c r="B119" s="1858"/>
      <c r="C119" s="1132" t="s">
        <v>1162</v>
      </c>
      <c r="D119" s="1218"/>
      <c r="E119" s="1131" t="s">
        <v>683</v>
      </c>
      <c r="F119" s="1131">
        <v>41</v>
      </c>
      <c r="G119" s="1471">
        <f t="shared" si="13"/>
        <v>22.923679999999997</v>
      </c>
      <c r="H119" s="1471">
        <f t="shared" si="14"/>
        <v>22.923679999999997</v>
      </c>
      <c r="I119" s="1191">
        <v>22.041999999999998</v>
      </c>
      <c r="J119" s="1478">
        <f t="shared" si="15"/>
        <v>939.87087999999994</v>
      </c>
      <c r="K119" s="1492">
        <f t="shared" si="8"/>
        <v>1127.8450559999999</v>
      </c>
      <c r="L119" s="1128"/>
      <c r="O119" s="1475">
        <f>J119-'Затраты на ремонт'!G105</f>
        <v>0</v>
      </c>
    </row>
    <row r="120" spans="1:15" ht="18.75">
      <c r="A120" s="1856"/>
      <c r="B120" s="1858"/>
      <c r="C120" s="1132" t="s">
        <v>1163</v>
      </c>
      <c r="D120" s="1218"/>
      <c r="E120" s="1131" t="s">
        <v>683</v>
      </c>
      <c r="F120" s="1131">
        <v>14</v>
      </c>
      <c r="G120" s="1471">
        <f t="shared" si="13"/>
        <v>31.600400000000004</v>
      </c>
      <c r="H120" s="1471">
        <f t="shared" si="14"/>
        <v>31.600400000000004</v>
      </c>
      <c r="I120" s="1191">
        <v>30.385000000000002</v>
      </c>
      <c r="J120" s="1478">
        <f t="shared" si="15"/>
        <v>442.40560000000005</v>
      </c>
      <c r="K120" s="1492">
        <f t="shared" si="8"/>
        <v>530.88672000000008</v>
      </c>
      <c r="L120" s="1128"/>
      <c r="O120" s="1475">
        <f>J120-'Затраты на ремонт'!G106</f>
        <v>0</v>
      </c>
    </row>
    <row r="121" spans="1:15" ht="18.75">
      <c r="A121" s="1856"/>
      <c r="B121" s="1858"/>
      <c r="C121" s="1132" t="s">
        <v>1164</v>
      </c>
      <c r="D121" s="1218"/>
      <c r="E121" s="1131" t="s">
        <v>683</v>
      </c>
      <c r="F121" s="1131">
        <v>14</v>
      </c>
      <c r="G121" s="1471">
        <f t="shared" si="13"/>
        <v>41.348320000000001</v>
      </c>
      <c r="H121" s="1471">
        <f t="shared" si="14"/>
        <v>41.348320000000001</v>
      </c>
      <c r="I121" s="1191">
        <v>39.758000000000003</v>
      </c>
      <c r="J121" s="1478">
        <f t="shared" si="15"/>
        <v>578.87648000000002</v>
      </c>
      <c r="K121" s="1492">
        <f t="shared" si="8"/>
        <v>694.65177600000004</v>
      </c>
      <c r="O121" s="1475">
        <f>J121-'Затраты на ремонт'!G107</f>
        <v>0</v>
      </c>
    </row>
    <row r="122" spans="1:15" ht="18.75">
      <c r="A122" s="1856"/>
      <c r="B122" s="1858"/>
      <c r="C122" s="1132" t="s">
        <v>1148</v>
      </c>
      <c r="D122" s="1218"/>
      <c r="E122" s="1131" t="s">
        <v>683</v>
      </c>
      <c r="F122" s="1131">
        <v>151</v>
      </c>
      <c r="G122" s="1471">
        <f t="shared" si="13"/>
        <v>51.953200000000002</v>
      </c>
      <c r="H122" s="1471">
        <f t="shared" si="14"/>
        <v>51.953200000000002</v>
      </c>
      <c r="I122" s="1191">
        <v>49.954999999999998</v>
      </c>
      <c r="J122" s="1478">
        <f>F122*G122</f>
        <v>7844.9332000000004</v>
      </c>
      <c r="K122" s="1492">
        <f t="shared" si="8"/>
        <v>9413.9198400000005</v>
      </c>
      <c r="O122" s="1475">
        <f>J122-'Затраты на ремонт'!G108</f>
        <v>0</v>
      </c>
    </row>
    <row r="123" spans="1:15" ht="18.75">
      <c r="A123" s="1856"/>
      <c r="B123" s="1858"/>
      <c r="C123" s="1138" t="s">
        <v>1149</v>
      </c>
      <c r="D123" s="1210"/>
      <c r="E123" s="1144" t="s">
        <v>1150</v>
      </c>
      <c r="F123" s="1144">
        <v>23</v>
      </c>
      <c r="G123" s="1471">
        <f t="shared" si="13"/>
        <v>0</v>
      </c>
      <c r="H123" s="1471">
        <f t="shared" si="14"/>
        <v>0</v>
      </c>
      <c r="I123" s="1196"/>
      <c r="J123" s="1478">
        <f t="shared" si="15"/>
        <v>0</v>
      </c>
      <c r="K123" s="1492">
        <f t="shared" si="8"/>
        <v>0</v>
      </c>
      <c r="O123" s="1475">
        <f>J123-'Затраты на ремонт'!G109</f>
        <v>0</v>
      </c>
    </row>
    <row r="124" spans="1:15" ht="18.75">
      <c r="A124" s="1856"/>
      <c r="B124" s="1858"/>
      <c r="C124" s="1138" t="s">
        <v>1151</v>
      </c>
      <c r="D124" s="1210"/>
      <c r="E124" s="912" t="s">
        <v>1150</v>
      </c>
      <c r="F124" s="912">
        <v>15</v>
      </c>
      <c r="G124" s="1471">
        <f t="shared" si="13"/>
        <v>0</v>
      </c>
      <c r="H124" s="1471">
        <f t="shared" si="14"/>
        <v>0</v>
      </c>
      <c r="I124" s="1184"/>
      <c r="J124" s="1478">
        <f t="shared" si="15"/>
        <v>0</v>
      </c>
      <c r="K124" s="1492">
        <f t="shared" si="8"/>
        <v>0</v>
      </c>
      <c r="O124" s="1475">
        <f>J124-'Затраты на ремонт'!G110</f>
        <v>0</v>
      </c>
    </row>
    <row r="125" spans="1:15" ht="19.5" thickBot="1">
      <c r="A125" s="1856"/>
      <c r="B125" s="1859"/>
      <c r="C125" s="1142"/>
      <c r="D125" s="1212"/>
      <c r="E125" s="1137"/>
      <c r="F125" s="1137"/>
      <c r="G125" s="1282"/>
      <c r="H125" s="1282"/>
      <c r="I125" s="1184"/>
      <c r="J125" s="1474"/>
      <c r="K125" s="1492">
        <f t="shared" si="8"/>
        <v>0</v>
      </c>
      <c r="O125" s="1475">
        <f>J125-'Затраты на ремонт'!G111</f>
        <v>0</v>
      </c>
    </row>
    <row r="126" spans="1:15" ht="19.5" thickBot="1">
      <c r="A126" s="1143" t="s">
        <v>304</v>
      </c>
      <c r="B126" s="1860" t="s">
        <v>419</v>
      </c>
      <c r="C126" s="1860"/>
      <c r="D126" s="1860"/>
      <c r="E126" s="1860"/>
      <c r="F126" s="1860"/>
      <c r="G126" s="1862"/>
      <c r="H126" s="1862"/>
      <c r="I126" s="1863"/>
      <c r="J126" s="1480"/>
      <c r="K126" s="1492">
        <f t="shared" si="8"/>
        <v>0</v>
      </c>
      <c r="O126" s="1475">
        <f>J126-'Затраты на ремонт'!G112</f>
        <v>0</v>
      </c>
    </row>
    <row r="127" spans="1:15" ht="19.5" thickBot="1">
      <c r="A127" s="1863" t="s">
        <v>299</v>
      </c>
      <c r="B127" s="1863"/>
      <c r="C127" s="1863"/>
      <c r="D127" s="1863"/>
      <c r="E127" s="1863"/>
      <c r="F127" s="1863"/>
      <c r="G127" s="1863"/>
      <c r="H127" s="1863"/>
      <c r="I127" s="1863"/>
      <c r="J127" s="1863"/>
      <c r="K127" s="1492">
        <f t="shared" si="8"/>
        <v>0</v>
      </c>
      <c r="L127" s="1129"/>
      <c r="O127" s="1475">
        <f>J127-'Затраты на ремонт'!G113</f>
        <v>0</v>
      </c>
    </row>
    <row r="128" spans="1:15" ht="19.5" thickBot="1">
      <c r="A128" s="1856" t="s">
        <v>305</v>
      </c>
      <c r="B128" s="1857" t="s">
        <v>420</v>
      </c>
      <c r="C128" s="1860" t="s">
        <v>418</v>
      </c>
      <c r="D128" s="1860"/>
      <c r="E128" s="1860"/>
      <c r="F128" s="1860"/>
      <c r="G128" s="1861"/>
      <c r="H128" s="1861"/>
      <c r="I128" s="1861"/>
      <c r="J128" s="1485"/>
      <c r="K128" s="1492">
        <f t="shared" si="8"/>
        <v>0</v>
      </c>
      <c r="L128" s="1128"/>
      <c r="O128" s="1475"/>
    </row>
    <row r="129" spans="1:15" ht="18.75">
      <c r="A129" s="1856"/>
      <c r="B129" s="1858"/>
      <c r="C129" s="1136" t="s">
        <v>1364</v>
      </c>
      <c r="D129" s="1197"/>
      <c r="E129" s="1131" t="s">
        <v>1365</v>
      </c>
      <c r="F129" s="1131">
        <v>3</v>
      </c>
      <c r="G129" s="1471">
        <f t="shared" ref="G129:G148" si="16">H129</f>
        <v>31243.333333333369</v>
      </c>
      <c r="H129" s="1471">
        <f t="shared" ref="H129:H148" si="17">I129*$M$22</f>
        <v>31243.333333333369</v>
      </c>
      <c r="I129" s="1197">
        <f>29166.6666666667*1.03</f>
        <v>30041.666666666701</v>
      </c>
      <c r="J129" s="1478">
        <f t="shared" ref="J129:J148" si="18">F129*G129</f>
        <v>93730.000000000102</v>
      </c>
      <c r="K129" s="1492">
        <f t="shared" si="8"/>
        <v>112476.00000000012</v>
      </c>
      <c r="L129" s="1128"/>
      <c r="O129" s="1475">
        <f>J129-'Затраты на ремонт'!G115</f>
        <v>0</v>
      </c>
    </row>
    <row r="130" spans="1:15" ht="23.25" customHeight="1">
      <c r="A130" s="1856"/>
      <c r="B130" s="1858"/>
      <c r="C130" s="1136" t="s">
        <v>1165</v>
      </c>
      <c r="D130" s="1218"/>
      <c r="E130" s="1131" t="s">
        <v>683</v>
      </c>
      <c r="F130" s="1131">
        <v>3</v>
      </c>
      <c r="G130" s="1471">
        <f t="shared" si="16"/>
        <v>255320.52000000002</v>
      </c>
      <c r="H130" s="1471">
        <f t="shared" si="17"/>
        <v>255320.52000000002</v>
      </c>
      <c r="I130" s="1197">
        <v>245500.5</v>
      </c>
      <c r="J130" s="1478">
        <f t="shared" si="18"/>
        <v>765961.56</v>
      </c>
      <c r="K130" s="1492">
        <f t="shared" si="8"/>
        <v>919153.87200000009</v>
      </c>
      <c r="L130" s="1178" t="s">
        <v>1343</v>
      </c>
      <c r="M130" s="1179"/>
      <c r="O130" s="1475">
        <f>J130-'Затраты на ремонт'!G116</f>
        <v>0</v>
      </c>
    </row>
    <row r="131" spans="1:15" ht="31.5">
      <c r="A131" s="1856"/>
      <c r="B131" s="1858"/>
      <c r="C131" s="1136" t="s">
        <v>1342</v>
      </c>
      <c r="D131" s="1218"/>
      <c r="E131" s="1131" t="s">
        <v>683</v>
      </c>
      <c r="F131" s="1131">
        <v>2</v>
      </c>
      <c r="G131" s="1471">
        <f t="shared" si="16"/>
        <v>156663</v>
      </c>
      <c r="H131" s="1471">
        <f t="shared" si="17"/>
        <v>156663</v>
      </c>
      <c r="I131" s="1197">
        <v>150637.5</v>
      </c>
      <c r="J131" s="1478">
        <f t="shared" si="18"/>
        <v>313326</v>
      </c>
      <c r="K131" s="1492">
        <f t="shared" si="8"/>
        <v>375991.2</v>
      </c>
      <c r="L131" s="1180" t="s">
        <v>1341</v>
      </c>
      <c r="M131" s="1181"/>
      <c r="O131" s="1475">
        <f>J131-'Затраты на ремонт'!G117</f>
        <v>0</v>
      </c>
    </row>
    <row r="132" spans="1:15" ht="18.75">
      <c r="A132" s="1856"/>
      <c r="B132" s="1858"/>
      <c r="C132" s="911" t="s">
        <v>1166</v>
      </c>
      <c r="D132" s="1218"/>
      <c r="E132" s="912" t="s">
        <v>683</v>
      </c>
      <c r="F132" s="912">
        <v>2</v>
      </c>
      <c r="G132" s="1471">
        <f t="shared" si="16"/>
        <v>0</v>
      </c>
      <c r="H132" s="1471">
        <f t="shared" si="17"/>
        <v>0</v>
      </c>
      <c r="I132" s="1184">
        <v>0</v>
      </c>
      <c r="J132" s="1478">
        <f t="shared" si="18"/>
        <v>0</v>
      </c>
      <c r="K132" s="1492">
        <f t="shared" si="8"/>
        <v>0</v>
      </c>
      <c r="L132" s="1128"/>
      <c r="O132" s="1475">
        <f>J132-'Затраты на ремонт'!G118</f>
        <v>0</v>
      </c>
    </row>
    <row r="133" spans="1:15" ht="18.75">
      <c r="A133" s="1856"/>
      <c r="B133" s="1858"/>
      <c r="C133" s="911" t="s">
        <v>1167</v>
      </c>
      <c r="D133" s="1218"/>
      <c r="E133" s="912" t="s">
        <v>683</v>
      </c>
      <c r="F133" s="912">
        <v>7</v>
      </c>
      <c r="G133" s="1471">
        <f t="shared" si="16"/>
        <v>0</v>
      </c>
      <c r="H133" s="1471">
        <f t="shared" si="17"/>
        <v>0</v>
      </c>
      <c r="I133" s="1184">
        <v>0</v>
      </c>
      <c r="J133" s="1478">
        <f t="shared" si="18"/>
        <v>0</v>
      </c>
      <c r="K133" s="1492">
        <f t="shared" si="8"/>
        <v>0</v>
      </c>
      <c r="L133" s="1128"/>
      <c r="O133" s="1475">
        <f>J133-'Затраты на ремонт'!G119</f>
        <v>0</v>
      </c>
    </row>
    <row r="134" spans="1:15" ht="18.75">
      <c r="A134" s="1856"/>
      <c r="B134" s="1858"/>
      <c r="C134" s="1136" t="s">
        <v>1168</v>
      </c>
      <c r="D134" s="1218"/>
      <c r="E134" s="1131" t="s">
        <v>683</v>
      </c>
      <c r="F134" s="1131">
        <v>249</v>
      </c>
      <c r="G134" s="1471">
        <f t="shared" si="16"/>
        <v>64.272000000000006</v>
      </c>
      <c r="H134" s="1471">
        <f t="shared" si="17"/>
        <v>64.272000000000006</v>
      </c>
      <c r="I134" s="1197">
        <v>61.800000000000004</v>
      </c>
      <c r="J134" s="1478">
        <f t="shared" si="18"/>
        <v>16003.728000000001</v>
      </c>
      <c r="K134" s="1492">
        <f t="shared" ref="K134:K148" si="19">J134*1.2</f>
        <v>19204.473600000001</v>
      </c>
      <c r="L134" s="1128"/>
      <c r="O134" s="1475">
        <f>J134-'Затраты на ремонт'!G120</f>
        <v>0</v>
      </c>
    </row>
    <row r="135" spans="1:15" ht="18.75">
      <c r="A135" s="1856"/>
      <c r="B135" s="1858"/>
      <c r="C135" s="1136" t="s">
        <v>1169</v>
      </c>
      <c r="D135" s="1218"/>
      <c r="E135" s="1131" t="s">
        <v>683</v>
      </c>
      <c r="F135" s="1131">
        <v>158</v>
      </c>
      <c r="G135" s="1471">
        <f t="shared" si="16"/>
        <v>89.370216000000013</v>
      </c>
      <c r="H135" s="1471">
        <f t="shared" si="17"/>
        <v>89.370216000000013</v>
      </c>
      <c r="I135" s="1191">
        <f>83.43*1.03</f>
        <v>85.932900000000004</v>
      </c>
      <c r="J135" s="1478">
        <f t="shared" si="18"/>
        <v>14120.494128000002</v>
      </c>
      <c r="K135" s="1492">
        <f t="shared" si="19"/>
        <v>16944.5929536</v>
      </c>
      <c r="L135" s="1128"/>
      <c r="O135" s="1475">
        <f>J135-'Затраты на ремонт'!G121</f>
        <v>0</v>
      </c>
    </row>
    <row r="136" spans="1:15" ht="18.75">
      <c r="A136" s="1856"/>
      <c r="B136" s="1858"/>
      <c r="C136" s="1136" t="s">
        <v>1170</v>
      </c>
      <c r="D136" s="1218"/>
      <c r="E136" s="1131" t="s">
        <v>683</v>
      </c>
      <c r="F136" s="1131">
        <v>158</v>
      </c>
      <c r="G136" s="1471">
        <f t="shared" si="16"/>
        <v>156.63086400000003</v>
      </c>
      <c r="H136" s="1471">
        <f t="shared" si="17"/>
        <v>156.63086400000003</v>
      </c>
      <c r="I136" s="1197">
        <v>150.60660000000001</v>
      </c>
      <c r="J136" s="1478">
        <f t="shared" si="18"/>
        <v>24747.676512000005</v>
      </c>
      <c r="K136" s="1492">
        <f t="shared" si="19"/>
        <v>29697.211814400005</v>
      </c>
      <c r="L136" s="1128"/>
      <c r="O136" s="1475">
        <f>J136-'Затраты на ремонт'!G122</f>
        <v>0</v>
      </c>
    </row>
    <row r="137" spans="1:15" ht="18.75">
      <c r="A137" s="1856"/>
      <c r="B137" s="1858"/>
      <c r="C137" s="1141" t="s">
        <v>1171</v>
      </c>
      <c r="D137" s="1218"/>
      <c r="E137" s="1140" t="s">
        <v>683</v>
      </c>
      <c r="F137" s="1140">
        <v>136</v>
      </c>
      <c r="G137" s="1471">
        <f t="shared" si="16"/>
        <v>0</v>
      </c>
      <c r="H137" s="1471">
        <f t="shared" si="17"/>
        <v>0</v>
      </c>
      <c r="I137" s="1198">
        <v>0</v>
      </c>
      <c r="J137" s="1478">
        <f t="shared" si="18"/>
        <v>0</v>
      </c>
      <c r="K137" s="1492">
        <f t="shared" si="19"/>
        <v>0</v>
      </c>
      <c r="L137" s="1139" t="s">
        <v>1340</v>
      </c>
      <c r="O137" s="1475">
        <f>J137-'Затраты на ремонт'!G123</f>
        <v>0</v>
      </c>
    </row>
    <row r="138" spans="1:15" ht="18.75">
      <c r="A138" s="1856"/>
      <c r="B138" s="1858"/>
      <c r="C138" s="1136" t="s">
        <v>1172</v>
      </c>
      <c r="D138" s="1218"/>
      <c r="E138" s="1131" t="s">
        <v>683</v>
      </c>
      <c r="F138" s="1131">
        <v>36</v>
      </c>
      <c r="G138" s="1471">
        <f t="shared" si="16"/>
        <v>133.9</v>
      </c>
      <c r="H138" s="1471">
        <f t="shared" si="17"/>
        <v>133.9</v>
      </c>
      <c r="I138" s="1191">
        <v>128.75</v>
      </c>
      <c r="J138" s="1478">
        <f t="shared" si="18"/>
        <v>4820.4000000000005</v>
      </c>
      <c r="K138" s="1492">
        <f t="shared" si="19"/>
        <v>5784.4800000000005</v>
      </c>
      <c r="L138" s="1128"/>
      <c r="O138" s="1475">
        <f>J138-'Затраты на ремонт'!G124</f>
        <v>0</v>
      </c>
    </row>
    <row r="139" spans="1:15" ht="18.75">
      <c r="A139" s="1856"/>
      <c r="B139" s="1858"/>
      <c r="C139" s="1136" t="s">
        <v>1173</v>
      </c>
      <c r="D139" s="1218"/>
      <c r="E139" s="1131" t="s">
        <v>683</v>
      </c>
      <c r="F139" s="1131">
        <v>51</v>
      </c>
      <c r="G139" s="1471">
        <f t="shared" si="16"/>
        <v>167.375</v>
      </c>
      <c r="H139" s="1471">
        <f t="shared" si="17"/>
        <v>167.375</v>
      </c>
      <c r="I139" s="1191">
        <v>160.9375</v>
      </c>
      <c r="J139" s="1478">
        <f t="shared" si="18"/>
        <v>8536.125</v>
      </c>
      <c r="K139" s="1492">
        <f t="shared" si="19"/>
        <v>10243.35</v>
      </c>
      <c r="L139" s="1128"/>
      <c r="O139" s="1475">
        <f>J139-'Затраты на ремонт'!G125</f>
        <v>0</v>
      </c>
    </row>
    <row r="140" spans="1:15" ht="18.75">
      <c r="A140" s="1856"/>
      <c r="B140" s="1858"/>
      <c r="C140" s="1136" t="s">
        <v>1174</v>
      </c>
      <c r="D140" s="1218"/>
      <c r="E140" s="1131" t="s">
        <v>683</v>
      </c>
      <c r="F140" s="1131">
        <v>46</v>
      </c>
      <c r="G140" s="1471">
        <f t="shared" si="16"/>
        <v>1207.2424000000001</v>
      </c>
      <c r="H140" s="1471">
        <f t="shared" si="17"/>
        <v>1207.2424000000001</v>
      </c>
      <c r="I140" s="1191">
        <v>1160.81</v>
      </c>
      <c r="J140" s="1478">
        <f t="shared" si="18"/>
        <v>55533.150400000006</v>
      </c>
      <c r="K140" s="1492">
        <f t="shared" si="19"/>
        <v>66639.780480000001</v>
      </c>
      <c r="L140" s="1128"/>
      <c r="O140" s="1475">
        <f>J140-'Затраты на ремонт'!G126</f>
        <v>0</v>
      </c>
    </row>
    <row r="141" spans="1:15" ht="18.75">
      <c r="A141" s="1856"/>
      <c r="B141" s="1858"/>
      <c r="C141" s="1136" t="s">
        <v>1175</v>
      </c>
      <c r="D141" s="1218"/>
      <c r="E141" s="1131" t="s">
        <v>683</v>
      </c>
      <c r="F141" s="1131">
        <v>19</v>
      </c>
      <c r="G141" s="1471">
        <f t="shared" si="16"/>
        <v>1247.3909760000001</v>
      </c>
      <c r="H141" s="1471">
        <f t="shared" si="17"/>
        <v>1247.3909760000001</v>
      </c>
      <c r="I141" s="1191">
        <v>1199.4144000000001</v>
      </c>
      <c r="J141" s="1478">
        <f>F141*G141</f>
        <v>23700.428544000002</v>
      </c>
      <c r="K141" s="1492">
        <f t="shared" si="19"/>
        <v>28440.514252800003</v>
      </c>
      <c r="L141" s="1128"/>
      <c r="O141" s="1475">
        <f>J141-'Затраты на ремонт'!G127</f>
        <v>0</v>
      </c>
    </row>
    <row r="142" spans="1:15" ht="18.75">
      <c r="A142" s="1856"/>
      <c r="B142" s="1858"/>
      <c r="C142" s="1136" t="s">
        <v>1176</v>
      </c>
      <c r="D142" s="1218"/>
      <c r="E142" s="1131" t="s">
        <v>683</v>
      </c>
      <c r="F142" s="1131">
        <v>124</v>
      </c>
      <c r="G142" s="1471">
        <f t="shared" si="16"/>
        <v>334.75</v>
      </c>
      <c r="H142" s="1471">
        <f t="shared" si="17"/>
        <v>334.75</v>
      </c>
      <c r="I142" s="1191">
        <v>321.875</v>
      </c>
      <c r="J142" s="1478">
        <f t="shared" si="18"/>
        <v>41509</v>
      </c>
      <c r="K142" s="1492">
        <f t="shared" si="19"/>
        <v>49810.799999999996</v>
      </c>
      <c r="L142" s="1128"/>
      <c r="O142" s="1475">
        <f>J142-'Затраты на ремонт'!G128</f>
        <v>0</v>
      </c>
    </row>
    <row r="143" spans="1:15" ht="18.75" customHeight="1">
      <c r="A143" s="1856"/>
      <c r="B143" s="1858"/>
      <c r="C143" s="1136" t="s">
        <v>1177</v>
      </c>
      <c r="D143" s="1218"/>
      <c r="E143" s="1131" t="s">
        <v>683</v>
      </c>
      <c r="F143" s="1131">
        <v>15</v>
      </c>
      <c r="G143" s="1471">
        <f t="shared" si="16"/>
        <v>19348.55</v>
      </c>
      <c r="H143" s="1471">
        <f t="shared" si="17"/>
        <v>19348.55</v>
      </c>
      <c r="I143" s="1199">
        <v>18604.375</v>
      </c>
      <c r="J143" s="1478">
        <f t="shared" si="18"/>
        <v>290228.25</v>
      </c>
      <c r="K143" s="1492">
        <f t="shared" si="19"/>
        <v>348273.89999999997</v>
      </c>
      <c r="L143" s="1128"/>
      <c r="O143" s="1475">
        <f>J143-'Затраты на ремонт'!G129</f>
        <v>0</v>
      </c>
    </row>
    <row r="144" spans="1:15" ht="18.75">
      <c r="A144" s="1856"/>
      <c r="B144" s="1858"/>
      <c r="C144" s="1136" t="s">
        <v>1178</v>
      </c>
      <c r="D144" s="1218"/>
      <c r="E144" s="1131" t="s">
        <v>683</v>
      </c>
      <c r="F144" s="1131">
        <v>1</v>
      </c>
      <c r="G144" s="1471">
        <f t="shared" si="16"/>
        <v>75055.020560000004</v>
      </c>
      <c r="H144" s="1471">
        <f t="shared" si="17"/>
        <v>75055.020560000004</v>
      </c>
      <c r="I144" s="1199">
        <v>72168.289000000004</v>
      </c>
      <c r="J144" s="1478">
        <f t="shared" si="18"/>
        <v>75055.020560000004</v>
      </c>
      <c r="K144" s="1492">
        <f t="shared" si="19"/>
        <v>90066.024672</v>
      </c>
      <c r="L144" s="1177" t="s">
        <v>1339</v>
      </c>
      <c r="O144" s="1475">
        <f>J144-'Затраты на ремонт'!G130</f>
        <v>0</v>
      </c>
    </row>
    <row r="145" spans="1:16" ht="18.75" customHeight="1">
      <c r="A145" s="1856"/>
      <c r="B145" s="1858"/>
      <c r="C145" s="1136" t="s">
        <v>1179</v>
      </c>
      <c r="D145" s="1218"/>
      <c r="E145" s="1131" t="s">
        <v>683</v>
      </c>
      <c r="F145" s="1131">
        <v>11</v>
      </c>
      <c r="G145" s="1471">
        <f t="shared" si="16"/>
        <v>59546.722560000009</v>
      </c>
      <c r="H145" s="1471">
        <f t="shared" si="17"/>
        <v>59546.722560000009</v>
      </c>
      <c r="I145" s="1199">
        <v>57256.464000000007</v>
      </c>
      <c r="J145" s="1478">
        <f t="shared" si="18"/>
        <v>655013.94816000015</v>
      </c>
      <c r="K145" s="1492">
        <f t="shared" si="19"/>
        <v>786016.73779200017</v>
      </c>
      <c r="L145" s="1177"/>
      <c r="O145" s="1475">
        <f>J145-'Затраты на ремонт'!G131</f>
        <v>0</v>
      </c>
    </row>
    <row r="146" spans="1:16" ht="18.75">
      <c r="A146" s="1856"/>
      <c r="B146" s="1858"/>
      <c r="C146" s="1135" t="s">
        <v>1148</v>
      </c>
      <c r="D146" s="1218"/>
      <c r="E146" s="1134" t="s">
        <v>683</v>
      </c>
      <c r="F146" s="1134">
        <v>8</v>
      </c>
      <c r="G146" s="1471">
        <f t="shared" si="16"/>
        <v>51.953200000000002</v>
      </c>
      <c r="H146" s="1471">
        <f t="shared" si="17"/>
        <v>51.953200000000002</v>
      </c>
      <c r="I146" s="1200">
        <v>49.954999999999998</v>
      </c>
      <c r="J146" s="1478">
        <f t="shared" si="18"/>
        <v>415.62560000000002</v>
      </c>
      <c r="K146" s="1492">
        <f t="shared" si="19"/>
        <v>498.75072</v>
      </c>
      <c r="L146" s="1128"/>
      <c r="O146" s="1475">
        <f>J146-'Затраты на ремонт'!G132</f>
        <v>0</v>
      </c>
    </row>
    <row r="147" spans="1:16" ht="19.5" customHeight="1">
      <c r="A147" s="1856"/>
      <c r="B147" s="1858"/>
      <c r="C147" s="1132" t="s">
        <v>1149</v>
      </c>
      <c r="D147" s="1218"/>
      <c r="E147" s="1131" t="s">
        <v>1150</v>
      </c>
      <c r="F147" s="1131">
        <v>23</v>
      </c>
      <c r="G147" s="1471">
        <f t="shared" si="16"/>
        <v>0</v>
      </c>
      <c r="H147" s="1471">
        <f t="shared" si="17"/>
        <v>0</v>
      </c>
      <c r="I147" s="1191">
        <v>0</v>
      </c>
      <c r="J147" s="1478">
        <f t="shared" si="18"/>
        <v>0</v>
      </c>
      <c r="K147" s="1492">
        <f t="shared" si="19"/>
        <v>0</v>
      </c>
      <c r="L147" s="1133" t="s">
        <v>1338</v>
      </c>
      <c r="O147" s="1475">
        <f>J147-'Затраты на ремонт'!G133</f>
        <v>0</v>
      </c>
    </row>
    <row r="148" spans="1:16" ht="18.75">
      <c r="A148" s="1856"/>
      <c r="B148" s="1858"/>
      <c r="C148" s="1132" t="s">
        <v>1151</v>
      </c>
      <c r="D148" s="1218"/>
      <c r="E148" s="1131" t="s">
        <v>1150</v>
      </c>
      <c r="F148" s="1131">
        <v>15</v>
      </c>
      <c r="G148" s="1471">
        <f t="shared" si="16"/>
        <v>0</v>
      </c>
      <c r="H148" s="1471">
        <f t="shared" si="17"/>
        <v>0</v>
      </c>
      <c r="I148" s="1191">
        <v>0</v>
      </c>
      <c r="J148" s="1478">
        <f t="shared" si="18"/>
        <v>0</v>
      </c>
      <c r="K148" s="1492">
        <f t="shared" si="19"/>
        <v>0</v>
      </c>
      <c r="L148" s="1130"/>
      <c r="O148" s="1475">
        <f>J148-'Затраты на ремонт'!G134</f>
        <v>0</v>
      </c>
    </row>
    <row r="149" spans="1:16" ht="18.75">
      <c r="A149" s="1286"/>
      <c r="B149" s="1208"/>
      <c r="C149" s="1208"/>
      <c r="D149" s="1208"/>
      <c r="E149" s="1208"/>
      <c r="F149" s="1208"/>
      <c r="G149" s="1283"/>
      <c r="H149" s="1283"/>
      <c r="I149" s="1209"/>
      <c r="J149" s="1225">
        <f>SUM(J129:J148,J109:J126,J98:J101,J51:J93,J21:J46)</f>
        <v>12576490.707527993</v>
      </c>
      <c r="K149" s="1493">
        <f>J149*1.2</f>
        <v>15091788.84903359</v>
      </c>
      <c r="L149" s="1128"/>
      <c r="O149" s="1475"/>
      <c r="P149" s="1475"/>
    </row>
    <row r="150" spans="1:16">
      <c r="A150" s="1877"/>
      <c r="B150" s="1877"/>
      <c r="C150" s="1877"/>
      <c r="D150" s="1877"/>
      <c r="E150" s="1877"/>
      <c r="F150" s="1877"/>
      <c r="G150" s="1877"/>
      <c r="H150" s="1877"/>
      <c r="I150" s="1877"/>
      <c r="J150" s="1877"/>
      <c r="K150" s="1491"/>
      <c r="L150" s="1129"/>
    </row>
    <row r="151" spans="1:16">
      <c r="A151" s="1878"/>
      <c r="B151" s="1879"/>
      <c r="C151" s="1862"/>
      <c r="D151" s="1862"/>
      <c r="E151" s="1862"/>
      <c r="F151" s="1862"/>
      <c r="G151" s="1862"/>
      <c r="H151" s="1862"/>
      <c r="I151" s="1862"/>
      <c r="J151" s="1486"/>
      <c r="K151" s="1486"/>
      <c r="L151" s="1128"/>
    </row>
    <row r="152" spans="1:16">
      <c r="A152" s="1878"/>
      <c r="B152" s="1879"/>
      <c r="C152" s="1127"/>
      <c r="D152" s="1220"/>
      <c r="E152" s="1124"/>
      <c r="F152" s="1126"/>
      <c r="G152" s="1126"/>
      <c r="H152" s="1126"/>
      <c r="I152" s="1127"/>
      <c r="J152" s="1487"/>
      <c r="K152" s="1487"/>
    </row>
    <row r="153" spans="1:16">
      <c r="A153" s="1878"/>
      <c r="B153" s="1879"/>
      <c r="C153" s="1127"/>
      <c r="D153" s="1220"/>
      <c r="E153" s="1124"/>
      <c r="F153" s="1126"/>
      <c r="G153" s="1126"/>
      <c r="H153" s="1126"/>
      <c r="I153" s="1127"/>
      <c r="J153" s="1487"/>
      <c r="K153" s="1487"/>
    </row>
    <row r="154" spans="1:16">
      <c r="A154" s="1878"/>
      <c r="B154" s="1879"/>
      <c r="C154" s="1127"/>
      <c r="D154" s="1220"/>
      <c r="E154" s="1124"/>
      <c r="F154" s="1126"/>
      <c r="G154" s="1126"/>
      <c r="H154" s="1126"/>
      <c r="I154" s="1127"/>
      <c r="J154" s="1487"/>
      <c r="K154" s="1487"/>
    </row>
    <row r="155" spans="1:16">
      <c r="A155" s="1878"/>
      <c r="B155" s="1879"/>
      <c r="C155" s="1127"/>
      <c r="D155" s="1220"/>
      <c r="E155" s="1124"/>
      <c r="F155" s="1126"/>
      <c r="G155" s="1126"/>
      <c r="H155" s="1126"/>
      <c r="I155" s="1127"/>
      <c r="J155" s="1487"/>
      <c r="K155" s="1487"/>
    </row>
    <row r="156" spans="1:16">
      <c r="A156" s="1878"/>
      <c r="B156" s="1879"/>
      <c r="C156" s="1127"/>
      <c r="D156" s="1220"/>
      <c r="E156" s="1124"/>
      <c r="F156" s="1126"/>
      <c r="G156" s="1126"/>
      <c r="H156" s="1126"/>
      <c r="I156" s="1127"/>
      <c r="J156" s="1487"/>
      <c r="K156" s="1487"/>
    </row>
    <row r="157" spans="1:16">
      <c r="A157" s="1878"/>
      <c r="B157" s="1879"/>
      <c r="C157" s="1124"/>
      <c r="D157" s="1221"/>
      <c r="E157" s="1125"/>
      <c r="F157" s="1125"/>
      <c r="G157" s="1283"/>
      <c r="H157" s="1283"/>
      <c r="I157" s="1127"/>
      <c r="J157" s="1486"/>
      <c r="K157" s="1486"/>
    </row>
    <row r="158" spans="1:16">
      <c r="A158" s="1286"/>
      <c r="B158" s="1862"/>
      <c r="C158" s="1862"/>
      <c r="D158" s="1862"/>
      <c r="E158" s="1862"/>
      <c r="F158" s="1862"/>
      <c r="G158" s="1862"/>
      <c r="H158" s="1862"/>
      <c r="I158" s="1862"/>
      <c r="J158" s="1487"/>
      <c r="K158" s="1487"/>
    </row>
    <row r="159" spans="1:16">
      <c r="A159" s="1286"/>
      <c r="B159" s="1125"/>
      <c r="C159" s="1125"/>
      <c r="D159" s="1222"/>
      <c r="E159" s="1125"/>
      <c r="F159" s="1125"/>
      <c r="G159" s="1283"/>
      <c r="H159" s="1283"/>
      <c r="I159" s="1127"/>
      <c r="J159" s="1487"/>
      <c r="K159" s="1487"/>
    </row>
    <row r="160" spans="1:16">
      <c r="A160" s="1879"/>
      <c r="B160" s="1881"/>
      <c r="C160" s="1882"/>
      <c r="D160" s="1882"/>
      <c r="E160" s="1882"/>
      <c r="F160" s="1882"/>
      <c r="G160" s="1882"/>
      <c r="H160" s="1882"/>
      <c r="I160" s="1882"/>
      <c r="J160" s="1487"/>
      <c r="K160" s="1487"/>
    </row>
    <row r="161" spans="1:11">
      <c r="A161" s="1879"/>
      <c r="B161" s="1881"/>
      <c r="C161" s="1883"/>
      <c r="D161" s="1883"/>
      <c r="E161" s="1883"/>
      <c r="F161" s="1883"/>
      <c r="G161" s="1883"/>
      <c r="H161" s="1883"/>
      <c r="I161" s="1883"/>
      <c r="J161" s="1487"/>
      <c r="K161" s="1487"/>
    </row>
    <row r="162" spans="1:11">
      <c r="A162" s="1879"/>
      <c r="B162" s="1881"/>
      <c r="C162" s="1883"/>
      <c r="D162" s="1883"/>
      <c r="E162" s="1883"/>
      <c r="F162" s="1883"/>
      <c r="G162" s="1883"/>
      <c r="H162" s="1883"/>
      <c r="I162" s="1883"/>
      <c r="J162" s="1487"/>
      <c r="K162" s="1487"/>
    </row>
    <row r="163" spans="1:11">
      <c r="A163" s="1879"/>
      <c r="B163" s="1881"/>
      <c r="C163" s="1883"/>
      <c r="D163" s="1883"/>
      <c r="E163" s="1883"/>
      <c r="F163" s="1883"/>
      <c r="G163" s="1883"/>
      <c r="H163" s="1883"/>
      <c r="I163" s="1883"/>
      <c r="J163" s="1488"/>
      <c r="K163" s="1488"/>
    </row>
    <row r="164" spans="1:11">
      <c r="A164" s="1287"/>
      <c r="B164" s="1123"/>
      <c r="C164" s="1122"/>
      <c r="D164" s="1223"/>
      <c r="E164" s="1122"/>
      <c r="F164" s="1122"/>
      <c r="G164" s="1288"/>
      <c r="H164" s="1288"/>
      <c r="I164" s="1127"/>
      <c r="J164" s="1488"/>
      <c r="K164" s="1488"/>
    </row>
    <row r="165" spans="1:11">
      <c r="A165" s="1880"/>
      <c r="B165" s="1880"/>
      <c r="C165" s="1880"/>
      <c r="D165" s="1880"/>
      <c r="E165" s="1880"/>
      <c r="F165" s="1880"/>
      <c r="G165" s="1880"/>
      <c r="H165" s="1880"/>
      <c r="I165" s="1880"/>
      <c r="J165" s="1880"/>
      <c r="K165" s="1494"/>
    </row>
  </sheetData>
  <mergeCells count="36">
    <mergeCell ref="A165:J165"/>
    <mergeCell ref="A160:A163"/>
    <mergeCell ref="B160:B163"/>
    <mergeCell ref="C160:I160"/>
    <mergeCell ref="C161:I161"/>
    <mergeCell ref="C162:I162"/>
    <mergeCell ref="C163:I163"/>
    <mergeCell ref="B158:I158"/>
    <mergeCell ref="B126:I126"/>
    <mergeCell ref="A127:J127"/>
    <mergeCell ref="A128:A148"/>
    <mergeCell ref="B128:B148"/>
    <mergeCell ref="C128:I128"/>
    <mergeCell ref="A150:J150"/>
    <mergeCell ref="A151:A157"/>
    <mergeCell ref="B151:B157"/>
    <mergeCell ref="B48:I48"/>
    <mergeCell ref="A49:J49"/>
    <mergeCell ref="C151:I151"/>
    <mergeCell ref="B97:B105"/>
    <mergeCell ref="C97:I97"/>
    <mergeCell ref="B106:I106"/>
    <mergeCell ref="A107:J107"/>
    <mergeCell ref="A108:A125"/>
    <mergeCell ref="A50:A94"/>
    <mergeCell ref="B50:B94"/>
    <mergeCell ref="C50:I50"/>
    <mergeCell ref="B95:I95"/>
    <mergeCell ref="B108:B125"/>
    <mergeCell ref="C108:I108"/>
    <mergeCell ref="A96:J96"/>
    <mergeCell ref="A17:J17"/>
    <mergeCell ref="A20:J20"/>
    <mergeCell ref="A21:A47"/>
    <mergeCell ref="B21:B47"/>
    <mergeCell ref="C21:I2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0">
    <tabColor indexed="22"/>
    <pageSetUpPr fitToPage="1"/>
  </sheetPr>
  <dimension ref="A2:V110"/>
  <sheetViews>
    <sheetView workbookViewId="0"/>
  </sheetViews>
  <sheetFormatPr defaultRowHeight="12.75"/>
  <cols>
    <col min="1" max="1" width="7.5703125" style="16" customWidth="1"/>
    <col min="2" max="2" width="43.140625" style="1" customWidth="1"/>
    <col min="3" max="3" width="9.140625" style="1"/>
    <col min="4" max="7" width="8.28515625" style="1" customWidth="1"/>
    <col min="8" max="14" width="8.140625" style="1" customWidth="1"/>
    <col min="15" max="18" width="6.5703125" style="1" customWidth="1"/>
    <col min="19" max="16384" width="9.140625" style="1"/>
  </cols>
  <sheetData>
    <row r="2" spans="1:22">
      <c r="A2" s="183"/>
      <c r="B2" s="184" t="s">
        <v>824</v>
      </c>
      <c r="C2" s="185"/>
      <c r="D2" s="184"/>
      <c r="E2" s="184"/>
      <c r="F2" s="184"/>
    </row>
    <row r="3" spans="1:22">
      <c r="A3" s="18"/>
      <c r="B3" s="19"/>
      <c r="C3" s="19"/>
      <c r="D3" s="19"/>
      <c r="E3" s="19"/>
      <c r="F3" s="19"/>
      <c r="G3" s="17" t="s">
        <v>423</v>
      </c>
    </row>
    <row r="4" spans="1:22" ht="25.5">
      <c r="A4" s="511" t="s">
        <v>268</v>
      </c>
      <c r="B4" s="25" t="s">
        <v>269</v>
      </c>
      <c r="C4" s="25" t="s">
        <v>270</v>
      </c>
      <c r="D4" s="512" t="s">
        <v>899</v>
      </c>
      <c r="E4" s="512" t="s">
        <v>1324</v>
      </c>
      <c r="F4" s="512" t="s">
        <v>1511</v>
      </c>
      <c r="G4" s="512" t="s">
        <v>1512</v>
      </c>
    </row>
    <row r="5" spans="1:22" s="21" customFormat="1" ht="15.75">
      <c r="A5" s="1884" t="s">
        <v>672</v>
      </c>
      <c r="B5" s="1884"/>
      <c r="C5" s="1884"/>
      <c r="D5" s="1884"/>
      <c r="E5" s="1884"/>
      <c r="F5" s="1884"/>
      <c r="G5" s="761"/>
    </row>
    <row r="6" spans="1:22">
      <c r="A6" s="508" t="s">
        <v>250</v>
      </c>
      <c r="B6" s="4" t="s">
        <v>671</v>
      </c>
      <c r="C6" s="20" t="s">
        <v>271</v>
      </c>
      <c r="D6" s="333"/>
      <c r="E6" s="972">
        <v>49.588304751808352</v>
      </c>
      <c r="F6" s="775">
        <f>'Числ. и разряд'!E55</f>
        <v>54.948633347031254</v>
      </c>
      <c r="G6" s="775">
        <f>'Числ. и разряд'!E55</f>
        <v>54.948633347031254</v>
      </c>
    </row>
    <row r="7" spans="1:22">
      <c r="A7" s="508" t="s">
        <v>246</v>
      </c>
      <c r="B7" s="4" t="s">
        <v>273</v>
      </c>
      <c r="C7" s="20" t="s">
        <v>274</v>
      </c>
      <c r="D7" s="657"/>
      <c r="E7" s="657">
        <v>7500</v>
      </c>
      <c r="F7" s="657">
        <f>A37</f>
        <v>11288.000324999999</v>
      </c>
      <c r="G7" s="657">
        <v>8772.6450000000004</v>
      </c>
      <c r="V7" s="971"/>
    </row>
    <row r="8" spans="1:22">
      <c r="A8" s="508" t="s">
        <v>251</v>
      </c>
      <c r="B8" s="4" t="s">
        <v>276</v>
      </c>
      <c r="C8" s="20"/>
      <c r="D8" s="659"/>
      <c r="E8" s="659">
        <v>1.3183840000000002</v>
      </c>
      <c r="F8" s="659">
        <v>1</v>
      </c>
      <c r="G8" s="659"/>
    </row>
    <row r="9" spans="1:22" ht="26.25">
      <c r="A9" s="508" t="s">
        <v>253</v>
      </c>
      <c r="B9" s="4" t="s">
        <v>277</v>
      </c>
      <c r="C9" s="20" t="s">
        <v>274</v>
      </c>
      <c r="D9" s="658">
        <f>D7*D8</f>
        <v>0</v>
      </c>
      <c r="E9" s="658">
        <f>E7*E8</f>
        <v>9887.880000000001</v>
      </c>
      <c r="F9" s="658">
        <f>F7*F8</f>
        <v>11288.000324999999</v>
      </c>
      <c r="G9" s="658">
        <v>8772.6450000000004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2">
      <c r="A10" s="508" t="s">
        <v>254</v>
      </c>
      <c r="B10" s="22" t="s">
        <v>278</v>
      </c>
      <c r="C10" s="20"/>
      <c r="D10" s="970">
        <v>6.0670000000000002</v>
      </c>
      <c r="E10" s="970">
        <v>6.0874245497657924</v>
      </c>
      <c r="F10" s="970">
        <v>6.0869999999999997</v>
      </c>
      <c r="G10" s="970">
        <f>'Числ. и разряд'!G55</f>
        <v>4.5818264616103015</v>
      </c>
    </row>
    <row r="11" spans="1:22" ht="25.5">
      <c r="A11" s="508" t="s">
        <v>255</v>
      </c>
      <c r="B11" s="4" t="s">
        <v>279</v>
      </c>
      <c r="C11" s="20" t="s">
        <v>274</v>
      </c>
      <c r="D11" s="970">
        <v>1.419</v>
      </c>
      <c r="E11" s="970">
        <f>D11</f>
        <v>1.419</v>
      </c>
      <c r="F11" s="970">
        <v>1.419</v>
      </c>
      <c r="G11" s="970">
        <v>1.5910641550186819</v>
      </c>
    </row>
    <row r="12" spans="1:22">
      <c r="A12" s="508" t="s">
        <v>256</v>
      </c>
      <c r="B12" s="4" t="s">
        <v>673</v>
      </c>
      <c r="C12" s="20" t="s">
        <v>280</v>
      </c>
      <c r="D12" s="658">
        <f>D9*D11</f>
        <v>0</v>
      </c>
      <c r="E12" s="658">
        <f>E9*E11</f>
        <v>14030.901720000002</v>
      </c>
      <c r="F12" s="658">
        <v>16019</v>
      </c>
      <c r="G12" s="658">
        <f>G9*G11</f>
        <v>13957.841004203865</v>
      </c>
    </row>
    <row r="13" spans="1:22" ht="25.5">
      <c r="A13" s="508" t="s">
        <v>257</v>
      </c>
      <c r="B13" s="4" t="s">
        <v>281</v>
      </c>
      <c r="C13" s="20"/>
      <c r="D13" s="22"/>
      <c r="E13" s="22"/>
      <c r="F13" s="22"/>
      <c r="G13" s="22"/>
    </row>
    <row r="14" spans="1:22">
      <c r="A14" s="508" t="s">
        <v>310</v>
      </c>
      <c r="B14" s="4" t="s">
        <v>282</v>
      </c>
      <c r="C14" s="20" t="s">
        <v>283</v>
      </c>
      <c r="D14" s="334">
        <v>7.0000000000000007E-2</v>
      </c>
      <c r="E14" s="509">
        <v>7.0000000000000007E-2</v>
      </c>
      <c r="F14" s="509">
        <v>7.0000000000000007E-2</v>
      </c>
      <c r="G14" s="509">
        <v>0.125</v>
      </c>
    </row>
    <row r="15" spans="1:22">
      <c r="A15" s="508" t="s">
        <v>311</v>
      </c>
      <c r="B15" s="4" t="s">
        <v>284</v>
      </c>
      <c r="C15" s="20" t="s">
        <v>274</v>
      </c>
      <c r="D15" s="658">
        <f>D12*D14</f>
        <v>0</v>
      </c>
      <c r="E15" s="658">
        <f>E12*E14</f>
        <v>982.16312040000025</v>
      </c>
      <c r="F15" s="658">
        <f>F12*F14</f>
        <v>1121.3300000000002</v>
      </c>
      <c r="G15" s="658">
        <f>G12*G14</f>
        <v>1744.7301255254831</v>
      </c>
    </row>
    <row r="16" spans="1:22">
      <c r="A16" s="508" t="s">
        <v>258</v>
      </c>
      <c r="B16" s="4" t="s">
        <v>285</v>
      </c>
      <c r="C16" s="20"/>
      <c r="D16" s="22"/>
      <c r="E16" s="22"/>
      <c r="F16" s="22"/>
      <c r="G16" s="22"/>
    </row>
    <row r="17" spans="1:18">
      <c r="A17" s="508" t="s">
        <v>312</v>
      </c>
      <c r="B17" s="4" t="s">
        <v>282</v>
      </c>
      <c r="C17" s="20" t="s">
        <v>283</v>
      </c>
      <c r="D17" s="334">
        <v>0.5</v>
      </c>
      <c r="E17" s="334">
        <v>0.5</v>
      </c>
      <c r="F17" s="334">
        <f>E17</f>
        <v>0.5</v>
      </c>
      <c r="G17" s="334">
        <v>0.75</v>
      </c>
    </row>
    <row r="18" spans="1:18">
      <c r="A18" s="508" t="s">
        <v>313</v>
      </c>
      <c r="B18" s="4" t="s">
        <v>284</v>
      </c>
      <c r="C18" s="20" t="s">
        <v>274</v>
      </c>
      <c r="D18" s="658">
        <f>(D12+D15)*D17</f>
        <v>0</v>
      </c>
      <c r="E18" s="658">
        <f>(E12+E15)*E17</f>
        <v>7506.5324202000011</v>
      </c>
      <c r="F18" s="658">
        <f>(F12+F15)*F17</f>
        <v>8570.1650000000009</v>
      </c>
      <c r="G18" s="658">
        <f>(G12+G15)*G17</f>
        <v>11776.928347297011</v>
      </c>
    </row>
    <row r="19" spans="1:18">
      <c r="A19" s="508" t="s">
        <v>314</v>
      </c>
      <c r="B19" s="4" t="s">
        <v>286</v>
      </c>
      <c r="C19" s="20"/>
      <c r="D19" s="22"/>
      <c r="E19" s="22"/>
      <c r="F19" s="22"/>
      <c r="G19" s="22"/>
    </row>
    <row r="20" spans="1:18">
      <c r="A20" s="508" t="s">
        <v>315</v>
      </c>
      <c r="B20" s="4" t="s">
        <v>282</v>
      </c>
      <c r="C20" s="20" t="s">
        <v>283</v>
      </c>
      <c r="D20" s="334"/>
      <c r="E20" s="334">
        <v>0.33</v>
      </c>
      <c r="F20" s="334">
        <v>0.33</v>
      </c>
      <c r="G20" s="334">
        <v>0.15</v>
      </c>
    </row>
    <row r="21" spans="1:18">
      <c r="A21" s="508" t="s">
        <v>316</v>
      </c>
      <c r="B21" s="4" t="s">
        <v>284</v>
      </c>
      <c r="C21" s="20" t="s">
        <v>274</v>
      </c>
      <c r="D21" s="658">
        <f>D12*D20</f>
        <v>0</v>
      </c>
      <c r="E21" s="658">
        <f>E12*E20</f>
        <v>4630.1975676000011</v>
      </c>
      <c r="F21" s="658">
        <f>F12*F20</f>
        <v>5286.27</v>
      </c>
      <c r="G21" s="658">
        <f>G12*G20</f>
        <v>2093.6761506305797</v>
      </c>
    </row>
    <row r="22" spans="1:18">
      <c r="A22" s="508" t="s">
        <v>317</v>
      </c>
      <c r="B22" s="4" t="s">
        <v>287</v>
      </c>
      <c r="C22" s="20"/>
      <c r="D22" s="22"/>
      <c r="E22" s="22"/>
      <c r="F22" s="22"/>
      <c r="G22" s="22"/>
    </row>
    <row r="23" spans="1:18">
      <c r="A23" s="508" t="s">
        <v>318</v>
      </c>
      <c r="B23" s="4" t="s">
        <v>282</v>
      </c>
      <c r="C23" s="20" t="s">
        <v>283</v>
      </c>
      <c r="D23" s="334">
        <v>0</v>
      </c>
      <c r="E23" s="334">
        <v>0</v>
      </c>
      <c r="F23" s="334">
        <v>0.3</v>
      </c>
      <c r="G23" s="334">
        <v>0.33</v>
      </c>
    </row>
    <row r="24" spans="1:18">
      <c r="A24" s="508" t="s">
        <v>319</v>
      </c>
      <c r="B24" s="4" t="s">
        <v>284</v>
      </c>
      <c r="C24" s="20" t="s">
        <v>274</v>
      </c>
      <c r="D24" s="658">
        <f>D12*D23</f>
        <v>0</v>
      </c>
      <c r="E24" s="658">
        <f>E12*E23</f>
        <v>0</v>
      </c>
      <c r="F24" s="658">
        <f>F12*F23</f>
        <v>4805.7</v>
      </c>
      <c r="G24" s="658">
        <f>G12*G23</f>
        <v>4606.0875313872757</v>
      </c>
    </row>
    <row r="25" spans="1:18" ht="25.5">
      <c r="A25" s="510" t="s">
        <v>320</v>
      </c>
      <c r="B25" s="4" t="s">
        <v>322</v>
      </c>
      <c r="C25" s="20" t="s">
        <v>274</v>
      </c>
      <c r="D25" s="658">
        <f>D12+D15+D18+D21+D24</f>
        <v>0</v>
      </c>
      <c r="E25" s="658">
        <f>E12+E15+E18+E21+E24</f>
        <v>27149.794828200003</v>
      </c>
      <c r="F25" s="658">
        <f>F12+F15+F18+F21+F24</f>
        <v>35802.465000000004</v>
      </c>
      <c r="G25" s="1059">
        <f>G12+G15+G18+G21+G24</f>
        <v>34179.263159044218</v>
      </c>
    </row>
    <row r="26" spans="1:18" ht="28.5" customHeight="1">
      <c r="A26" s="510" t="s">
        <v>321</v>
      </c>
      <c r="B26" s="4" t="s">
        <v>674</v>
      </c>
      <c r="C26" s="20" t="s">
        <v>288</v>
      </c>
      <c r="D26" s="658">
        <f>D25*D6*12/1000</f>
        <v>0</v>
      </c>
      <c r="E26" s="658">
        <f>E25*E6*12/1000</f>
        <v>16155.747598678225</v>
      </c>
      <c r="F26" s="658">
        <f>F25*F6*12/1000</f>
        <v>23607.558266459033</v>
      </c>
      <c r="G26" s="658">
        <f>G25*G6*12/1000</f>
        <v>22537.245592776166</v>
      </c>
      <c r="H26" s="762"/>
    </row>
    <row r="27" spans="1:18">
      <c r="A27" s="506"/>
    </row>
    <row r="28" spans="1:18" ht="15">
      <c r="A28" s="1"/>
      <c r="B28" s="1" t="s">
        <v>823</v>
      </c>
      <c r="C28" s="758">
        <v>43101</v>
      </c>
      <c r="D28" s="758">
        <v>43132</v>
      </c>
      <c r="E28" s="758">
        <v>43160</v>
      </c>
      <c r="F28" s="758">
        <v>43191</v>
      </c>
      <c r="G28" s="758">
        <v>43221</v>
      </c>
      <c r="H28" s="758">
        <v>43252</v>
      </c>
      <c r="I28" s="758">
        <v>43282</v>
      </c>
      <c r="J28" s="758">
        <v>43313</v>
      </c>
      <c r="K28" s="758">
        <v>43344</v>
      </c>
      <c r="L28" s="758">
        <v>43374</v>
      </c>
      <c r="M28" s="758">
        <v>43405</v>
      </c>
      <c r="N28" s="758">
        <v>43435</v>
      </c>
    </row>
    <row r="29" spans="1:18" s="954" customFormat="1" ht="15.75">
      <c r="B29" s="757" t="s">
        <v>810</v>
      </c>
      <c r="C29" s="757">
        <v>64</v>
      </c>
      <c r="D29" s="757">
        <v>63</v>
      </c>
      <c r="E29" s="757">
        <v>62</v>
      </c>
      <c r="F29" s="759">
        <v>62</v>
      </c>
      <c r="G29" s="759">
        <v>62</v>
      </c>
      <c r="H29" s="759">
        <v>64</v>
      </c>
      <c r="I29" s="759">
        <v>62</v>
      </c>
      <c r="J29" s="759">
        <v>59</v>
      </c>
      <c r="K29" s="761">
        <v>59</v>
      </c>
      <c r="L29" s="761">
        <v>58</v>
      </c>
      <c r="M29" s="761">
        <v>59</v>
      </c>
      <c r="N29" s="761">
        <v>58</v>
      </c>
    </row>
    <row r="30" spans="1:18" s="954" customFormat="1" ht="15">
      <c r="B30" s="757" t="s">
        <v>811</v>
      </c>
      <c r="C30" s="757">
        <v>1540</v>
      </c>
      <c r="D30" s="757">
        <v>1475</v>
      </c>
      <c r="E30" s="757">
        <v>1400</v>
      </c>
      <c r="F30" s="759">
        <v>1468</v>
      </c>
      <c r="G30" s="759">
        <v>1701</v>
      </c>
      <c r="H30" s="759">
        <v>1781</v>
      </c>
      <c r="I30" s="759">
        <v>1700</v>
      </c>
      <c r="J30" s="759">
        <v>1620</v>
      </c>
      <c r="K30" s="22">
        <v>1510</v>
      </c>
      <c r="L30" s="22">
        <v>1584</v>
      </c>
      <c r="M30" s="22">
        <v>1316</v>
      </c>
      <c r="N30" s="22">
        <v>1316</v>
      </c>
      <c r="P30" s="960" t="s">
        <v>1209</v>
      </c>
      <c r="Q30" s="957">
        <f>'Числ. и разряд'!G55</f>
        <v>4.5818264616103015</v>
      </c>
      <c r="R30" s="956">
        <f>HLOOKUP(Q30,$A$33:$R$34,2)</f>
        <v>1.1419999999999999</v>
      </c>
    </row>
    <row r="31" spans="1:18" s="954" customFormat="1" ht="15">
      <c r="B31" s="757" t="s">
        <v>812</v>
      </c>
      <c r="C31" s="760">
        <f>C30/C29</f>
        <v>24.0625</v>
      </c>
      <c r="D31" s="760">
        <f t="shared" ref="D31:N31" si="0">D30/D29</f>
        <v>23.412698412698411</v>
      </c>
      <c r="E31" s="760">
        <f t="shared" si="0"/>
        <v>22.580645161290324</v>
      </c>
      <c r="F31" s="760">
        <f t="shared" si="0"/>
        <v>23.677419354838708</v>
      </c>
      <c r="G31" s="760">
        <f t="shared" si="0"/>
        <v>27.43548387096774</v>
      </c>
      <c r="H31" s="760">
        <f t="shared" si="0"/>
        <v>27.828125</v>
      </c>
      <c r="I31" s="760">
        <f t="shared" si="0"/>
        <v>27.419354838709676</v>
      </c>
      <c r="J31" s="760">
        <f t="shared" si="0"/>
        <v>27.457627118644069</v>
      </c>
      <c r="K31" s="760">
        <f t="shared" si="0"/>
        <v>25.593220338983052</v>
      </c>
      <c r="L31" s="760">
        <f t="shared" si="0"/>
        <v>27.310344827586206</v>
      </c>
      <c r="M31" s="760">
        <f t="shared" si="0"/>
        <v>22.305084745762713</v>
      </c>
      <c r="N31" s="760">
        <f t="shared" si="0"/>
        <v>22.689655172413794</v>
      </c>
      <c r="P31" s="960" t="s">
        <v>1210</v>
      </c>
      <c r="Q31" s="969">
        <f>R30+(R31-R30)*(Q30-INT(Q30))</f>
        <v>1.215310134162898</v>
      </c>
      <c r="R31" s="956">
        <f>HLOOKUP(Q30+1,$A$33:$R$34,2)</f>
        <v>1.268</v>
      </c>
    </row>
    <row r="32" spans="1:18" s="954" customFormat="1">
      <c r="B32" s="955"/>
      <c r="D32" s="1012" t="s">
        <v>1211</v>
      </c>
      <c r="H32" s="1013"/>
      <c r="I32" s="1014"/>
    </row>
    <row r="33" spans="1:18" s="954" customFormat="1">
      <c r="A33" s="956">
        <v>1</v>
      </c>
      <c r="B33" s="959">
        <v>2</v>
      </c>
      <c r="C33" s="956">
        <v>3</v>
      </c>
      <c r="D33" s="956">
        <v>4</v>
      </c>
      <c r="E33" s="956">
        <v>5</v>
      </c>
      <c r="F33" s="956">
        <v>6</v>
      </c>
      <c r="G33" s="956">
        <v>7</v>
      </c>
      <c r="H33" s="956">
        <v>8</v>
      </c>
      <c r="I33" s="956">
        <v>9</v>
      </c>
      <c r="J33" s="956">
        <v>10</v>
      </c>
      <c r="K33" s="956">
        <v>11</v>
      </c>
      <c r="L33" s="956">
        <v>12</v>
      </c>
      <c r="M33" s="956">
        <v>13</v>
      </c>
      <c r="N33" s="956">
        <v>14</v>
      </c>
      <c r="O33" s="956">
        <v>15</v>
      </c>
      <c r="P33" s="956">
        <v>16</v>
      </c>
      <c r="Q33" s="956">
        <v>17</v>
      </c>
      <c r="R33" s="956">
        <v>18</v>
      </c>
    </row>
    <row r="34" spans="1:18" s="964" customFormat="1">
      <c r="A34" s="961">
        <v>1</v>
      </c>
      <c r="B34" s="962">
        <v>1.04</v>
      </c>
      <c r="C34" s="961">
        <v>1.0900000000000001</v>
      </c>
      <c r="D34" s="961">
        <v>1.1419999999999999</v>
      </c>
      <c r="E34" s="961">
        <v>1.268</v>
      </c>
      <c r="F34" s="961">
        <v>1.407</v>
      </c>
      <c r="G34" s="961">
        <v>1.546</v>
      </c>
      <c r="H34" s="961">
        <v>1.6990000000000001</v>
      </c>
      <c r="I34" s="961">
        <v>1.8660000000000001</v>
      </c>
      <c r="J34" s="961">
        <v>2.0470000000000002</v>
      </c>
      <c r="K34" s="961">
        <v>2.242</v>
      </c>
      <c r="L34" s="961">
        <v>2.423</v>
      </c>
      <c r="M34" s="961">
        <v>2.6179999999999999</v>
      </c>
      <c r="N34" s="961">
        <v>2.8130000000000002</v>
      </c>
      <c r="O34" s="961">
        <v>3.036</v>
      </c>
      <c r="P34" s="961">
        <v>3.2589999999999999</v>
      </c>
      <c r="Q34" s="961">
        <v>3.51</v>
      </c>
      <c r="R34" s="961">
        <v>4.5</v>
      </c>
    </row>
    <row r="35" spans="1:18" s="954" customFormat="1" ht="13.5">
      <c r="A35" s="965"/>
      <c r="B35" s="959"/>
      <c r="C35" s="956"/>
      <c r="D35" s="956"/>
      <c r="E35" s="956"/>
      <c r="F35" s="956"/>
      <c r="G35" s="956"/>
      <c r="H35" s="956"/>
      <c r="I35" s="956"/>
      <c r="J35" s="956"/>
      <c r="K35" s="956"/>
      <c r="L35" s="956"/>
      <c r="M35" s="956"/>
      <c r="N35" s="956"/>
      <c r="O35" s="956"/>
      <c r="P35" s="956"/>
      <c r="Q35" s="956"/>
      <c r="R35" s="956"/>
    </row>
    <row r="36" spans="1:18" s="967" customFormat="1">
      <c r="A36" s="963">
        <v>7500</v>
      </c>
      <c r="B36" s="966">
        <f>$A$36*B34</f>
        <v>7800</v>
      </c>
      <c r="C36" s="986">
        <f>$A$36*C34</f>
        <v>8175.0000000000009</v>
      </c>
      <c r="D36" s="986">
        <f t="shared" ref="D36:J36" si="1">$A$36*D34</f>
        <v>8565</v>
      </c>
      <c r="E36" s="986">
        <f t="shared" si="1"/>
        <v>9510</v>
      </c>
      <c r="F36" s="986">
        <f t="shared" si="1"/>
        <v>10552.5</v>
      </c>
      <c r="G36" s="986">
        <f t="shared" si="1"/>
        <v>11595</v>
      </c>
      <c r="H36" s="986">
        <f t="shared" si="1"/>
        <v>12742.5</v>
      </c>
      <c r="I36" s="986">
        <f t="shared" si="1"/>
        <v>13995</v>
      </c>
      <c r="J36" s="986">
        <f t="shared" si="1"/>
        <v>15352.500000000002</v>
      </c>
      <c r="K36" s="986">
        <f>$A$36*K34</f>
        <v>16815</v>
      </c>
      <c r="L36" s="986">
        <f t="shared" ref="L36:R36" si="2">$A$36*L34</f>
        <v>18172.5</v>
      </c>
      <c r="M36" s="986">
        <f t="shared" si="2"/>
        <v>19635</v>
      </c>
      <c r="N36" s="986">
        <f t="shared" si="2"/>
        <v>21097.5</v>
      </c>
      <c r="O36" s="986">
        <f t="shared" si="2"/>
        <v>22770</v>
      </c>
      <c r="P36" s="986">
        <f t="shared" si="2"/>
        <v>24442.5</v>
      </c>
      <c r="Q36" s="986">
        <f t="shared" si="2"/>
        <v>26325</v>
      </c>
      <c r="R36" s="986">
        <f t="shared" si="2"/>
        <v>33750</v>
      </c>
    </row>
    <row r="37" spans="1:18" s="954" customFormat="1">
      <c r="A37" s="963">
        <f>A36*1.4*$A$38</f>
        <v>11288.000324999999</v>
      </c>
      <c r="B37" s="958">
        <f>B36*1.4*$A$38</f>
        <v>11739.520337999998</v>
      </c>
      <c r="C37" s="986">
        <f t="shared" ref="C37:R37" si="3">C36*1.4*$A$38</f>
        <v>12303.920354249998</v>
      </c>
      <c r="D37" s="986">
        <f t="shared" si="3"/>
        <v>12890.896371149998</v>
      </c>
      <c r="E37" s="986">
        <f t="shared" si="3"/>
        <v>14313.184412099999</v>
      </c>
      <c r="F37" s="986">
        <f t="shared" si="3"/>
        <v>15882.216457274997</v>
      </c>
      <c r="G37" s="986">
        <f t="shared" si="3"/>
        <v>17451.248502449998</v>
      </c>
      <c r="H37" s="986">
        <f t="shared" si="3"/>
        <v>19178.312552174997</v>
      </c>
      <c r="I37" s="986">
        <f t="shared" si="3"/>
        <v>21063.408606449997</v>
      </c>
      <c r="J37" s="986">
        <f t="shared" si="3"/>
        <v>23106.536665274998</v>
      </c>
      <c r="K37" s="986">
        <f t="shared" si="3"/>
        <v>25307.696728649997</v>
      </c>
      <c r="L37" s="986">
        <f t="shared" si="3"/>
        <v>27350.824787474998</v>
      </c>
      <c r="M37" s="986">
        <f t="shared" si="3"/>
        <v>29551.984850849996</v>
      </c>
      <c r="N37" s="986">
        <f t="shared" si="3"/>
        <v>31753.144914224995</v>
      </c>
      <c r="O37" s="986">
        <f t="shared" si="3"/>
        <v>34270.368986699992</v>
      </c>
      <c r="P37" s="986">
        <f t="shared" si="3"/>
        <v>36787.593059175</v>
      </c>
      <c r="Q37" s="986">
        <f t="shared" si="3"/>
        <v>39620.881140749996</v>
      </c>
      <c r="R37" s="986">
        <f t="shared" si="3"/>
        <v>50796.001462499997</v>
      </c>
    </row>
    <row r="38" spans="1:18" s="954" customFormat="1">
      <c r="A38" s="967">
        <v>1.0750476499999999</v>
      </c>
      <c r="B38" s="955"/>
    </row>
    <row r="39" spans="1:18" s="954" customFormat="1">
      <c r="B39" s="955"/>
    </row>
    <row r="40" spans="1:18" s="954" customFormat="1" ht="15.75">
      <c r="B40" s="955"/>
      <c r="D40" s="968"/>
      <c r="G40" s="955"/>
      <c r="I40" s="21"/>
      <c r="R40" s="1015">
        <v>20</v>
      </c>
    </row>
    <row r="41" spans="1:18">
      <c r="B41" s="23"/>
      <c r="C41" s="24"/>
      <c r="D41" s="24"/>
    </row>
    <row r="42" spans="1:18">
      <c r="B42" s="23"/>
      <c r="C42" s="24"/>
      <c r="D42" s="24"/>
    </row>
    <row r="43" spans="1:18">
      <c r="B43" s="23"/>
      <c r="C43" s="24"/>
      <c r="D43" s="24"/>
    </row>
    <row r="44" spans="1:18">
      <c r="B44" s="23"/>
      <c r="C44" s="24"/>
      <c r="D44" s="24"/>
    </row>
    <row r="45" spans="1:18">
      <c r="B45" s="23"/>
      <c r="C45" s="24"/>
      <c r="D45" s="24"/>
    </row>
    <row r="46" spans="1:18">
      <c r="B46" s="23"/>
      <c r="C46" s="24"/>
      <c r="D46" s="24"/>
    </row>
    <row r="47" spans="1:18">
      <c r="B47" s="23"/>
      <c r="C47" s="24"/>
      <c r="D47" s="24"/>
    </row>
    <row r="48" spans="1:18">
      <c r="B48" s="23"/>
      <c r="C48" s="24"/>
      <c r="D48" s="24"/>
    </row>
    <row r="49" spans="2:4">
      <c r="B49" s="23"/>
      <c r="C49" s="24"/>
      <c r="D49" s="24"/>
    </row>
    <row r="50" spans="2:4">
      <c r="B50" s="23"/>
      <c r="C50" s="24"/>
      <c r="D50" s="24"/>
    </row>
    <row r="51" spans="2:4">
      <c r="B51" s="23"/>
      <c r="C51" s="24"/>
      <c r="D51" s="24"/>
    </row>
    <row r="52" spans="2:4">
      <c r="B52" s="23"/>
      <c r="C52" s="24"/>
      <c r="D52" s="24"/>
    </row>
    <row r="53" spans="2:4">
      <c r="B53" s="23"/>
      <c r="C53" s="24"/>
      <c r="D53" s="24"/>
    </row>
    <row r="54" spans="2:4">
      <c r="B54" s="23"/>
      <c r="C54" s="24"/>
      <c r="D54" s="24"/>
    </row>
    <row r="55" spans="2:4">
      <c r="B55" s="23"/>
      <c r="C55" s="24"/>
      <c r="D55" s="24"/>
    </row>
    <row r="56" spans="2:4">
      <c r="B56" s="23"/>
      <c r="C56" s="24"/>
      <c r="D56" s="24"/>
    </row>
    <row r="57" spans="2:4">
      <c r="B57" s="23"/>
      <c r="C57" s="24"/>
      <c r="D57" s="24"/>
    </row>
    <row r="58" spans="2:4">
      <c r="B58" s="23"/>
      <c r="C58" s="24"/>
      <c r="D58" s="24"/>
    </row>
    <row r="59" spans="2:4">
      <c r="B59" s="23"/>
      <c r="C59" s="24"/>
      <c r="D59" s="24"/>
    </row>
    <row r="60" spans="2:4">
      <c r="B60" s="23"/>
      <c r="C60" s="24"/>
      <c r="D60" s="24"/>
    </row>
    <row r="61" spans="2:4">
      <c r="B61" s="23"/>
      <c r="C61" s="24"/>
      <c r="D61" s="24"/>
    </row>
    <row r="62" spans="2:4">
      <c r="B62" s="23"/>
      <c r="C62" s="24"/>
      <c r="D62" s="24"/>
    </row>
    <row r="63" spans="2:4">
      <c r="B63" s="23"/>
      <c r="C63" s="24"/>
      <c r="D63" s="24"/>
    </row>
    <row r="64" spans="2:4">
      <c r="B64" s="23"/>
      <c r="C64" s="24"/>
      <c r="D64" s="24"/>
    </row>
    <row r="65" spans="2:4">
      <c r="B65" s="23"/>
      <c r="C65" s="24"/>
      <c r="D65" s="24"/>
    </row>
    <row r="66" spans="2:4">
      <c r="B66" s="23"/>
      <c r="C66" s="24"/>
      <c r="D66" s="24"/>
    </row>
    <row r="67" spans="2:4">
      <c r="B67" s="23"/>
      <c r="C67" s="24"/>
      <c r="D67" s="24"/>
    </row>
    <row r="68" spans="2:4">
      <c r="B68" s="23"/>
      <c r="C68" s="24"/>
      <c r="D68" s="24"/>
    </row>
    <row r="69" spans="2:4">
      <c r="B69" s="23"/>
      <c r="C69" s="24"/>
      <c r="D69" s="24"/>
    </row>
    <row r="70" spans="2:4">
      <c r="B70" s="23"/>
      <c r="C70" s="24"/>
      <c r="D70" s="24"/>
    </row>
    <row r="71" spans="2:4">
      <c r="B71" s="23"/>
      <c r="C71" s="24"/>
      <c r="D71" s="24"/>
    </row>
    <row r="72" spans="2:4">
      <c r="B72" s="23"/>
      <c r="C72" s="24"/>
      <c r="D72" s="24"/>
    </row>
    <row r="73" spans="2:4">
      <c r="B73" s="23"/>
      <c r="C73" s="24"/>
      <c r="D73" s="24"/>
    </row>
    <row r="74" spans="2:4">
      <c r="B74" s="23"/>
      <c r="C74" s="24"/>
      <c r="D74" s="24"/>
    </row>
    <row r="75" spans="2:4">
      <c r="B75" s="23"/>
      <c r="C75" s="24"/>
      <c r="D75" s="24"/>
    </row>
    <row r="76" spans="2:4">
      <c r="B76" s="23"/>
      <c r="C76" s="24"/>
      <c r="D76" s="24"/>
    </row>
    <row r="77" spans="2:4">
      <c r="B77" s="23"/>
      <c r="C77" s="24"/>
      <c r="D77" s="24"/>
    </row>
    <row r="78" spans="2:4">
      <c r="B78" s="23"/>
      <c r="C78" s="24"/>
      <c r="D78" s="24"/>
    </row>
    <row r="79" spans="2:4">
      <c r="B79" s="23"/>
      <c r="C79" s="24"/>
      <c r="D79" s="24"/>
    </row>
    <row r="80" spans="2:4">
      <c r="B80" s="23"/>
      <c r="C80" s="24"/>
      <c r="D80" s="24"/>
    </row>
    <row r="81" spans="2:4">
      <c r="B81" s="23"/>
      <c r="C81" s="24"/>
      <c r="D81" s="24"/>
    </row>
    <row r="82" spans="2:4">
      <c r="B82" s="23"/>
      <c r="C82" s="24"/>
      <c r="D82" s="24"/>
    </row>
    <row r="83" spans="2:4">
      <c r="B83" s="23"/>
      <c r="C83" s="24"/>
      <c r="D83" s="24"/>
    </row>
    <row r="84" spans="2:4">
      <c r="B84" s="23"/>
      <c r="C84" s="24"/>
      <c r="D84" s="24"/>
    </row>
    <row r="85" spans="2:4">
      <c r="B85" s="23"/>
      <c r="C85" s="24"/>
      <c r="D85" s="24"/>
    </row>
    <row r="86" spans="2:4">
      <c r="B86" s="23"/>
      <c r="C86" s="24"/>
      <c r="D86" s="24"/>
    </row>
    <row r="87" spans="2:4">
      <c r="B87" s="23"/>
      <c r="C87" s="24"/>
      <c r="D87" s="24"/>
    </row>
    <row r="88" spans="2:4">
      <c r="C88" s="24"/>
      <c r="D88" s="24"/>
    </row>
    <row r="89" spans="2:4">
      <c r="C89" s="24"/>
      <c r="D89" s="24"/>
    </row>
    <row r="90" spans="2:4">
      <c r="C90" s="24"/>
      <c r="D90" s="24"/>
    </row>
    <row r="91" spans="2:4">
      <c r="C91" s="24"/>
      <c r="D91" s="24"/>
    </row>
    <row r="92" spans="2:4">
      <c r="C92" s="24"/>
      <c r="D92" s="24"/>
    </row>
    <row r="93" spans="2:4">
      <c r="C93" s="24"/>
      <c r="D93" s="24"/>
    </row>
    <row r="94" spans="2:4">
      <c r="C94" s="24"/>
      <c r="D94" s="24"/>
    </row>
    <row r="95" spans="2:4">
      <c r="C95" s="24"/>
      <c r="D95" s="24"/>
    </row>
    <row r="96" spans="2:4">
      <c r="C96" s="24"/>
      <c r="D96" s="24"/>
    </row>
    <row r="97" spans="3:4">
      <c r="C97" s="24"/>
      <c r="D97" s="24"/>
    </row>
    <row r="98" spans="3:4">
      <c r="C98" s="24"/>
      <c r="D98" s="24"/>
    </row>
    <row r="99" spans="3:4">
      <c r="C99" s="24"/>
      <c r="D99" s="24"/>
    </row>
    <row r="100" spans="3:4">
      <c r="C100" s="24"/>
      <c r="D100" s="24"/>
    </row>
    <row r="101" spans="3:4">
      <c r="C101" s="24"/>
      <c r="D101" s="24"/>
    </row>
    <row r="102" spans="3:4">
      <c r="C102" s="24"/>
      <c r="D102" s="24"/>
    </row>
    <row r="103" spans="3:4">
      <c r="C103" s="24"/>
      <c r="D103" s="24"/>
    </row>
    <row r="104" spans="3:4">
      <c r="C104" s="24"/>
      <c r="D104" s="24"/>
    </row>
    <row r="105" spans="3:4">
      <c r="C105" s="24"/>
      <c r="D105" s="24"/>
    </row>
    <row r="106" spans="3:4">
      <c r="C106" s="24"/>
      <c r="D106" s="24"/>
    </row>
    <row r="107" spans="3:4">
      <c r="C107" s="24"/>
      <c r="D107" s="24"/>
    </row>
    <row r="108" spans="3:4">
      <c r="C108" s="24"/>
      <c r="D108" s="24"/>
    </row>
    <row r="109" spans="3:4">
      <c r="C109" s="24"/>
      <c r="D109" s="24"/>
    </row>
    <row r="110" spans="3:4">
      <c r="C110" s="24"/>
      <c r="D110" s="24"/>
    </row>
  </sheetData>
  <mergeCells count="1">
    <mergeCell ref="A5:F5"/>
  </mergeCells>
  <phoneticPr fontId="7" type="noConversion"/>
  <pageMargins left="0.15748031496062992" right="7.874015748031496E-2" top="1.1811023622047245" bottom="0.19685039370078741" header="0" footer="0"/>
  <pageSetup paperSize="9" scale="83" fitToHeight="0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4">
    <tabColor indexed="22"/>
    <pageSetUpPr fitToPage="1"/>
  </sheetPr>
  <dimension ref="A1:I56"/>
  <sheetViews>
    <sheetView topLeftCell="A22" workbookViewId="0">
      <selection activeCell="E55" sqref="E55"/>
    </sheetView>
  </sheetViews>
  <sheetFormatPr defaultRowHeight="12.75"/>
  <cols>
    <col min="1" max="1" width="42.28515625" style="1" customWidth="1"/>
    <col min="2" max="2" width="7.5703125" style="1" customWidth="1"/>
    <col min="3" max="4" width="9.140625" style="1"/>
    <col min="5" max="5" width="12.5703125" style="1" customWidth="1"/>
    <col min="6" max="6" width="15.42578125" style="1" customWidth="1"/>
    <col min="7" max="7" width="10.85546875" style="1" bestFit="1" customWidth="1"/>
    <col min="8" max="8" width="10.140625" style="1" customWidth="1"/>
    <col min="9" max="9" width="3.42578125" style="1" customWidth="1"/>
    <col min="10" max="16384" width="9.140625" style="1"/>
  </cols>
  <sheetData>
    <row r="1" spans="1:9" ht="15.75">
      <c r="A1" s="524" t="s">
        <v>720</v>
      </c>
      <c r="B1" s="524"/>
      <c r="C1" s="524"/>
      <c r="D1" s="524"/>
      <c r="E1" s="524"/>
      <c r="F1" s="524"/>
      <c r="I1" s="1">
        <v>21</v>
      </c>
    </row>
    <row r="3" spans="1:9" ht="75.75" customHeight="1">
      <c r="A3" s="513" t="s">
        <v>675</v>
      </c>
      <c r="B3" s="514" t="s">
        <v>270</v>
      </c>
      <c r="C3" s="514" t="s">
        <v>748</v>
      </c>
      <c r="D3" s="514" t="s">
        <v>747</v>
      </c>
      <c r="E3" s="514" t="s">
        <v>746</v>
      </c>
      <c r="F3" s="514" t="s">
        <v>749</v>
      </c>
      <c r="G3" s="514" t="s">
        <v>676</v>
      </c>
      <c r="H3" s="514" t="s">
        <v>750</v>
      </c>
    </row>
    <row r="4" spans="1:9">
      <c r="A4" s="276" t="s">
        <v>721</v>
      </c>
      <c r="B4" s="513"/>
      <c r="C4" s="513"/>
      <c r="D4" s="514"/>
      <c r="E4" s="514"/>
      <c r="F4" s="514"/>
      <c r="G4" s="514"/>
      <c r="H4" s="514"/>
    </row>
    <row r="5" spans="1:9">
      <c r="A5" s="515" t="s">
        <v>744</v>
      </c>
      <c r="B5" s="525"/>
      <c r="C5" s="525"/>
      <c r="D5" s="527"/>
      <c r="E5" s="526"/>
      <c r="F5" s="528"/>
      <c r="G5" s="525"/>
      <c r="H5" s="525"/>
    </row>
    <row r="6" spans="1:9">
      <c r="A6" s="515" t="s">
        <v>745</v>
      </c>
      <c r="B6" s="22" t="s">
        <v>349</v>
      </c>
      <c r="C6" s="950">
        <f>'2.1'!O38</f>
        <v>49.117999999999995</v>
      </c>
      <c r="D6" s="517" t="s">
        <v>677</v>
      </c>
      <c r="E6" s="952">
        <f>5/100*C6</f>
        <v>2.4558999999999997</v>
      </c>
      <c r="F6" s="518" t="s">
        <v>722</v>
      </c>
      <c r="G6" s="516">
        <f>5*0+4</f>
        <v>4</v>
      </c>
      <c r="H6" s="952">
        <f>G6*E6</f>
        <v>9.823599999999999</v>
      </c>
    </row>
    <row r="7" spans="1:9">
      <c r="A7" s="515" t="s">
        <v>739</v>
      </c>
      <c r="B7" s="22" t="s">
        <v>349</v>
      </c>
      <c r="C7" s="950">
        <f>'2.1'!O37</f>
        <v>7.0310000000000006</v>
      </c>
      <c r="D7" s="517" t="s">
        <v>678</v>
      </c>
      <c r="E7" s="952">
        <f>4.5/100*C7</f>
        <v>0.31639500000000004</v>
      </c>
      <c r="F7" s="518" t="s">
        <v>722</v>
      </c>
      <c r="G7" s="516">
        <f>5*0+4</f>
        <v>4</v>
      </c>
      <c r="H7" s="952">
        <f t="shared" ref="H7:H26" si="0">G7*E7</f>
        <v>1.2655800000000001</v>
      </c>
    </row>
    <row r="8" spans="1:9">
      <c r="A8" s="519" t="s">
        <v>740</v>
      </c>
      <c r="B8" s="22" t="s">
        <v>349</v>
      </c>
      <c r="C8" s="950">
        <f>'2.1'!O45</f>
        <v>65.031250000000014</v>
      </c>
      <c r="D8" s="517" t="s">
        <v>679</v>
      </c>
      <c r="E8" s="952">
        <f>4/100*C8</f>
        <v>2.6012500000000007</v>
      </c>
      <c r="F8" s="518" t="s">
        <v>722</v>
      </c>
      <c r="G8" s="516">
        <v>4</v>
      </c>
      <c r="H8" s="952">
        <f t="shared" si="0"/>
        <v>10.405000000000003</v>
      </c>
    </row>
    <row r="9" spans="1:9">
      <c r="A9" s="22" t="s">
        <v>741</v>
      </c>
      <c r="B9" s="22" t="s">
        <v>349</v>
      </c>
      <c r="C9" s="950">
        <f>'2.1'!O46</f>
        <v>147.09915000000009</v>
      </c>
      <c r="D9" s="517" t="s">
        <v>680</v>
      </c>
      <c r="E9" s="952">
        <f>3.5/100*C9</f>
        <v>5.1484702500000035</v>
      </c>
      <c r="F9" s="518" t="s">
        <v>722</v>
      </c>
      <c r="G9" s="516">
        <v>4</v>
      </c>
      <c r="H9" s="952">
        <f t="shared" si="0"/>
        <v>20.593881000000014</v>
      </c>
    </row>
    <row r="10" spans="1:9">
      <c r="A10" s="22" t="s">
        <v>742</v>
      </c>
      <c r="B10" s="22" t="s">
        <v>349</v>
      </c>
      <c r="C10" s="950"/>
      <c r="D10" s="517" t="s">
        <v>678</v>
      </c>
      <c r="E10" s="952">
        <f>4.5/100*C10</f>
        <v>0</v>
      </c>
      <c r="F10" s="518" t="s">
        <v>722</v>
      </c>
      <c r="G10" s="516"/>
      <c r="H10" s="952"/>
    </row>
    <row r="11" spans="1:9">
      <c r="A11" s="22" t="s">
        <v>743</v>
      </c>
      <c r="B11" s="525"/>
      <c r="C11" s="951"/>
      <c r="D11" s="527"/>
      <c r="E11" s="951"/>
      <c r="F11" s="528"/>
      <c r="G11" s="525"/>
      <c r="H11" s="951"/>
    </row>
    <row r="12" spans="1:9">
      <c r="A12" s="22" t="s">
        <v>751</v>
      </c>
      <c r="B12" s="22" t="s">
        <v>349</v>
      </c>
      <c r="C12" s="950">
        <f>'2.1'!O40</f>
        <v>3.1530000000000005</v>
      </c>
      <c r="D12" s="517" t="s">
        <v>680</v>
      </c>
      <c r="E12" s="952">
        <f>3.5/100*C12</f>
        <v>0.11035500000000002</v>
      </c>
      <c r="F12" s="518" t="s">
        <v>723</v>
      </c>
      <c r="G12" s="516">
        <f>5*0+4</f>
        <v>4</v>
      </c>
      <c r="H12" s="952">
        <f t="shared" si="0"/>
        <v>0.44142000000000009</v>
      </c>
    </row>
    <row r="13" spans="1:9">
      <c r="A13" s="22" t="s">
        <v>752</v>
      </c>
      <c r="B13" s="22" t="s">
        <v>349</v>
      </c>
      <c r="C13" s="950">
        <f>'2.1'!O47</f>
        <v>13.16</v>
      </c>
      <c r="D13" s="517" t="s">
        <v>681</v>
      </c>
      <c r="E13" s="952">
        <f>3/100*C13</f>
        <v>0.39479999999999998</v>
      </c>
      <c r="F13" s="517" t="s">
        <v>723</v>
      </c>
      <c r="G13" s="516">
        <v>4</v>
      </c>
      <c r="H13" s="952">
        <f t="shared" si="0"/>
        <v>1.5791999999999999</v>
      </c>
    </row>
    <row r="14" spans="1:9">
      <c r="A14" s="22" t="s">
        <v>682</v>
      </c>
      <c r="B14" s="22"/>
      <c r="C14" s="525"/>
      <c r="D14" s="525"/>
      <c r="E14" s="951"/>
      <c r="F14" s="525"/>
      <c r="G14" s="525"/>
      <c r="H14" s="952"/>
    </row>
    <row r="15" spans="1:9">
      <c r="A15" s="22" t="s">
        <v>753</v>
      </c>
      <c r="B15" s="22" t="s">
        <v>683</v>
      </c>
      <c r="C15" s="516">
        <f>'2.2'!R32</f>
        <v>45</v>
      </c>
      <c r="D15" s="517" t="s">
        <v>684</v>
      </c>
      <c r="E15" s="952">
        <f>2.5/100*C15</f>
        <v>1.125</v>
      </c>
      <c r="F15" s="518" t="s">
        <v>725</v>
      </c>
      <c r="G15" s="516">
        <f>5</f>
        <v>5</v>
      </c>
      <c r="H15" s="952">
        <f t="shared" si="0"/>
        <v>5.625</v>
      </c>
    </row>
    <row r="16" spans="1:9">
      <c r="A16" s="22" t="s">
        <v>754</v>
      </c>
      <c r="B16" s="22" t="s">
        <v>683</v>
      </c>
      <c r="C16" s="516">
        <f>'2.2'!R33</f>
        <v>11</v>
      </c>
      <c r="D16" s="517" t="s">
        <v>681</v>
      </c>
      <c r="E16" s="952">
        <f>3/100*C16</f>
        <v>0.32999999999999996</v>
      </c>
      <c r="F16" s="520" t="s">
        <v>725</v>
      </c>
      <c r="G16" s="516">
        <f>5</f>
        <v>5</v>
      </c>
      <c r="H16" s="952">
        <f t="shared" si="0"/>
        <v>1.65</v>
      </c>
    </row>
    <row r="17" spans="1:8">
      <c r="A17" s="22" t="s">
        <v>755</v>
      </c>
      <c r="B17" s="22" t="s">
        <v>683</v>
      </c>
      <c r="C17" s="516">
        <f>'2.2'!R31</f>
        <v>24</v>
      </c>
      <c r="D17" s="517" t="s">
        <v>685</v>
      </c>
      <c r="E17" s="952">
        <f>2.7/100*C17</f>
        <v>0.64800000000000013</v>
      </c>
      <c r="F17" s="517" t="s">
        <v>725</v>
      </c>
      <c r="G17" s="516">
        <f>5</f>
        <v>5</v>
      </c>
      <c r="H17" s="952">
        <f t="shared" si="0"/>
        <v>3.2400000000000007</v>
      </c>
    </row>
    <row r="18" spans="1:8">
      <c r="A18" s="22" t="s">
        <v>1236</v>
      </c>
      <c r="B18" s="22"/>
      <c r="C18" s="516"/>
      <c r="D18" s="517"/>
      <c r="E18" s="952"/>
      <c r="F18" s="517"/>
      <c r="G18" s="516"/>
      <c r="H18" s="952"/>
    </row>
    <row r="19" spans="1:8">
      <c r="A19" s="22" t="s">
        <v>1237</v>
      </c>
      <c r="B19" s="22" t="s">
        <v>683</v>
      </c>
      <c r="C19" s="516">
        <f>C21</f>
        <v>32</v>
      </c>
      <c r="D19" s="517" t="s">
        <v>1239</v>
      </c>
      <c r="E19" s="952">
        <f>2.5/1000*C19</f>
        <v>0.08</v>
      </c>
      <c r="F19" s="518" t="s">
        <v>1241</v>
      </c>
      <c r="G19" s="516">
        <f>6*0+5</f>
        <v>5</v>
      </c>
      <c r="H19" s="952">
        <f t="shared" si="0"/>
        <v>0.4</v>
      </c>
    </row>
    <row r="20" spans="1:8">
      <c r="A20" s="22" t="s">
        <v>1238</v>
      </c>
      <c r="B20" s="22" t="s">
        <v>683</v>
      </c>
      <c r="C20" s="516">
        <f>C22</f>
        <v>106</v>
      </c>
      <c r="D20" s="517" t="s">
        <v>1240</v>
      </c>
      <c r="E20" s="952">
        <f>2/1000*C20</f>
        <v>0.21199999999999999</v>
      </c>
      <c r="F20" s="518" t="s">
        <v>1241</v>
      </c>
      <c r="G20" s="516">
        <f>6*0+5</f>
        <v>5</v>
      </c>
      <c r="H20" s="952">
        <f t="shared" si="0"/>
        <v>1.06</v>
      </c>
    </row>
    <row r="21" spans="1:8">
      <c r="A21" s="22" t="s">
        <v>686</v>
      </c>
      <c r="B21" s="22" t="s">
        <v>683</v>
      </c>
      <c r="C21" s="516">
        <f>'2.2'!R22</f>
        <v>32</v>
      </c>
      <c r="D21" s="517" t="s">
        <v>687</v>
      </c>
      <c r="E21" s="952">
        <f>9.5/1000*C21</f>
        <v>0.30399999999999999</v>
      </c>
      <c r="F21" s="518" t="s">
        <v>726</v>
      </c>
      <c r="G21" s="516">
        <f>6*0+5</f>
        <v>5</v>
      </c>
      <c r="H21" s="952">
        <f t="shared" si="0"/>
        <v>1.52</v>
      </c>
    </row>
    <row r="22" spans="1:8">
      <c r="A22" s="22" t="s">
        <v>688</v>
      </c>
      <c r="B22" s="22" t="s">
        <v>683</v>
      </c>
      <c r="C22" s="516">
        <f>'2.2'!R26</f>
        <v>106</v>
      </c>
      <c r="D22" s="517" t="s">
        <v>689</v>
      </c>
      <c r="E22" s="952">
        <f>4/1000*C22</f>
        <v>0.42399999999999999</v>
      </c>
      <c r="F22" s="517" t="s">
        <v>726</v>
      </c>
      <c r="G22" s="516">
        <v>5</v>
      </c>
      <c r="H22" s="952">
        <f t="shared" si="0"/>
        <v>2.12</v>
      </c>
    </row>
    <row r="23" spans="1:8">
      <c r="A23" s="22" t="s">
        <v>690</v>
      </c>
      <c r="B23" s="22" t="s">
        <v>683</v>
      </c>
      <c r="C23" s="516">
        <v>8886</v>
      </c>
      <c r="D23" s="517" t="s">
        <v>691</v>
      </c>
      <c r="E23" s="952">
        <f>3.5/10000*C23</f>
        <v>3.1101000000000001</v>
      </c>
      <c r="F23" s="518" t="s">
        <v>727</v>
      </c>
      <c r="G23" s="516">
        <v>3</v>
      </c>
      <c r="H23" s="952">
        <f t="shared" si="0"/>
        <v>9.3303000000000011</v>
      </c>
    </row>
    <row r="24" spans="1:8">
      <c r="A24" s="22" t="s">
        <v>692</v>
      </c>
      <c r="B24" s="22" t="s">
        <v>683</v>
      </c>
      <c r="C24" s="516">
        <v>433</v>
      </c>
      <c r="D24" s="517" t="s">
        <v>693</v>
      </c>
      <c r="E24" s="952">
        <f>2.6/1000*C24</f>
        <v>1.1257999999999999</v>
      </c>
      <c r="F24" s="517" t="s">
        <v>727</v>
      </c>
      <c r="G24" s="516">
        <v>3</v>
      </c>
      <c r="H24" s="952">
        <f t="shared" si="0"/>
        <v>3.3773999999999997</v>
      </c>
    </row>
    <row r="25" spans="1:8">
      <c r="A25" s="22" t="s">
        <v>694</v>
      </c>
      <c r="B25" s="22" t="s">
        <v>683</v>
      </c>
      <c r="C25" s="516">
        <f>3200*0</f>
        <v>0</v>
      </c>
      <c r="D25" s="517" t="s">
        <v>695</v>
      </c>
      <c r="E25" s="952">
        <f>2/10000*C25</f>
        <v>0</v>
      </c>
      <c r="F25" s="518" t="s">
        <v>724</v>
      </c>
      <c r="G25" s="516">
        <v>4</v>
      </c>
      <c r="H25" s="952">
        <f t="shared" si="0"/>
        <v>0</v>
      </c>
    </row>
    <row r="26" spans="1:8">
      <c r="A26" s="22" t="s">
        <v>756</v>
      </c>
      <c r="B26" s="22" t="s">
        <v>696</v>
      </c>
      <c r="C26" s="516">
        <v>0</v>
      </c>
      <c r="D26" s="517" t="s">
        <v>689</v>
      </c>
      <c r="E26" s="952">
        <f>4/1000*C26</f>
        <v>0</v>
      </c>
      <c r="F26" s="518" t="s">
        <v>728</v>
      </c>
      <c r="G26" s="516">
        <v>4</v>
      </c>
      <c r="H26" s="952">
        <f t="shared" si="0"/>
        <v>0</v>
      </c>
    </row>
    <row r="27" spans="1:8">
      <c r="A27" s="22"/>
      <c r="B27" s="22"/>
      <c r="C27" s="22"/>
      <c r="D27" s="22"/>
      <c r="E27" s="952"/>
      <c r="F27" s="22"/>
      <c r="G27" s="22"/>
      <c r="H27" s="952"/>
    </row>
    <row r="28" spans="1:8" s="521" customFormat="1">
      <c r="A28" s="276" t="s">
        <v>383</v>
      </c>
      <c r="B28" s="276"/>
      <c r="C28" s="276"/>
      <c r="D28" s="276"/>
      <c r="E28" s="953">
        <f>SUM(E4:E26)</f>
        <v>18.386070250000003</v>
      </c>
      <c r="F28" s="276"/>
      <c r="G28" s="276"/>
      <c r="H28" s="953">
        <f>SUM(H4:H26)</f>
        <v>72.431381000000016</v>
      </c>
    </row>
    <row r="29" spans="1:8">
      <c r="A29" s="22" t="s">
        <v>697</v>
      </c>
      <c r="B29" s="22"/>
      <c r="C29" s="22"/>
      <c r="D29" s="22"/>
      <c r="E29" s="953">
        <v>4</v>
      </c>
      <c r="F29" s="22"/>
      <c r="G29" s="516">
        <v>4</v>
      </c>
      <c r="H29" s="952">
        <f>E29*G29</f>
        <v>16</v>
      </c>
    </row>
    <row r="30" spans="1:8">
      <c r="A30" s="276" t="s">
        <v>698</v>
      </c>
      <c r="B30" s="22"/>
      <c r="C30" s="22"/>
      <c r="D30" s="22"/>
      <c r="E30" s="953">
        <f>(E28+E29)*1.18</f>
        <v>26.415562895000001</v>
      </c>
      <c r="F30" s="22"/>
      <c r="G30" s="22"/>
      <c r="H30" s="952">
        <f>(H28+H29)*1.18</f>
        <v>104.34902958000001</v>
      </c>
    </row>
    <row r="31" spans="1:8">
      <c r="A31" s="276" t="s">
        <v>1508</v>
      </c>
      <c r="B31" s="22"/>
      <c r="C31" s="22"/>
      <c r="D31" s="22"/>
      <c r="E31" s="953">
        <f>SUM(E32:E47)*1.18</f>
        <v>14.963070452031252</v>
      </c>
      <c r="F31" s="22"/>
      <c r="G31" s="22"/>
      <c r="H31" s="952"/>
    </row>
    <row r="32" spans="1:8">
      <c r="A32" s="22" t="s">
        <v>699</v>
      </c>
      <c r="B32" s="22"/>
      <c r="C32" s="22"/>
      <c r="D32" s="517" t="s">
        <v>738</v>
      </c>
      <c r="E32" s="950">
        <f>0.8*0+1</f>
        <v>1</v>
      </c>
      <c r="F32" s="518" t="s">
        <v>729</v>
      </c>
      <c r="G32" s="516">
        <v>14</v>
      </c>
      <c r="H32" s="952">
        <f>E32*G32</f>
        <v>14</v>
      </c>
    </row>
    <row r="33" spans="1:8">
      <c r="A33" s="22" t="s">
        <v>700</v>
      </c>
      <c r="B33" s="22"/>
      <c r="C33" s="22"/>
      <c r="D33" s="517" t="s">
        <v>738</v>
      </c>
      <c r="E33" s="950">
        <f>0.8*0+1</f>
        <v>1</v>
      </c>
      <c r="F33" s="518" t="s">
        <v>729</v>
      </c>
      <c r="G33" s="516">
        <v>13</v>
      </c>
      <c r="H33" s="952">
        <f>E33*G33</f>
        <v>13</v>
      </c>
    </row>
    <row r="34" spans="1:8">
      <c r="A34" s="22" t="s">
        <v>1207</v>
      </c>
      <c r="B34" s="22"/>
      <c r="C34" s="22"/>
      <c r="D34" s="517" t="s">
        <v>738</v>
      </c>
      <c r="E34" s="950">
        <f>0.8*0+1</f>
        <v>1</v>
      </c>
      <c r="F34" s="518" t="s">
        <v>729</v>
      </c>
      <c r="G34" s="516">
        <v>13</v>
      </c>
      <c r="H34" s="952">
        <f>E34*G34</f>
        <v>13</v>
      </c>
    </row>
    <row r="35" spans="1:8">
      <c r="A35" s="22" t="s">
        <v>701</v>
      </c>
      <c r="B35" s="22"/>
      <c r="C35" s="22"/>
      <c r="D35" s="517" t="s">
        <v>702</v>
      </c>
      <c r="E35" s="950">
        <f>0.8*0+1</f>
        <v>1</v>
      </c>
      <c r="F35" s="518" t="s">
        <v>729</v>
      </c>
      <c r="G35" s="516">
        <v>6</v>
      </c>
      <c r="H35" s="952">
        <f t="shared" ref="H35:H41" si="1">E35*G35</f>
        <v>6</v>
      </c>
    </row>
    <row r="36" spans="1:8">
      <c r="A36" s="22" t="s">
        <v>703</v>
      </c>
      <c r="B36" s="22"/>
      <c r="C36" s="22"/>
      <c r="D36" s="517" t="s">
        <v>704</v>
      </c>
      <c r="E36" s="950">
        <v>0.5</v>
      </c>
      <c r="F36" s="518" t="s">
        <v>729</v>
      </c>
      <c r="G36" s="516">
        <v>3</v>
      </c>
      <c r="H36" s="952">
        <f t="shared" si="1"/>
        <v>1.5</v>
      </c>
    </row>
    <row r="37" spans="1:8">
      <c r="A37" s="22" t="s">
        <v>1235</v>
      </c>
      <c r="B37" s="22"/>
      <c r="C37" s="22"/>
      <c r="D37" s="517" t="s">
        <v>738</v>
      </c>
      <c r="E37" s="950">
        <v>1</v>
      </c>
      <c r="F37" s="518" t="s">
        <v>723</v>
      </c>
      <c r="G37" s="516">
        <v>6</v>
      </c>
      <c r="H37" s="952">
        <f t="shared" si="1"/>
        <v>6</v>
      </c>
    </row>
    <row r="38" spans="1:8">
      <c r="A38" s="22" t="s">
        <v>705</v>
      </c>
      <c r="B38" s="22"/>
      <c r="C38" s="22"/>
      <c r="D38" s="517" t="s">
        <v>704</v>
      </c>
      <c r="E38" s="950">
        <v>0.5</v>
      </c>
      <c r="F38" s="518" t="s">
        <v>729</v>
      </c>
      <c r="G38" s="516">
        <v>6</v>
      </c>
      <c r="H38" s="952">
        <f t="shared" si="1"/>
        <v>3</v>
      </c>
    </row>
    <row r="39" spans="1:8">
      <c r="A39" s="22" t="s">
        <v>706</v>
      </c>
      <c r="B39" s="22"/>
      <c r="C39" s="22"/>
      <c r="D39" s="517" t="s">
        <v>704</v>
      </c>
      <c r="E39" s="950">
        <v>0.5</v>
      </c>
      <c r="F39" s="518" t="s">
        <v>729</v>
      </c>
      <c r="G39" s="516">
        <v>7</v>
      </c>
      <c r="H39" s="952">
        <f t="shared" si="1"/>
        <v>3.5</v>
      </c>
    </row>
    <row r="40" spans="1:8">
      <c r="A40" s="22" t="s">
        <v>707</v>
      </c>
      <c r="B40" s="22"/>
      <c r="C40" s="22"/>
      <c r="D40" s="517" t="s">
        <v>738</v>
      </c>
      <c r="E40" s="950">
        <v>1</v>
      </c>
      <c r="F40" s="518" t="s">
        <v>729</v>
      </c>
      <c r="G40" s="516">
        <v>7</v>
      </c>
      <c r="H40" s="952">
        <f t="shared" si="1"/>
        <v>7</v>
      </c>
    </row>
    <row r="41" spans="1:8">
      <c r="A41" s="22" t="s">
        <v>708</v>
      </c>
      <c r="B41" s="22"/>
      <c r="C41" s="22">
        <f>C23+C24</f>
        <v>9319</v>
      </c>
      <c r="D41" s="517" t="s">
        <v>757</v>
      </c>
      <c r="E41" s="950">
        <f>1/10000*C41</f>
        <v>0.93190000000000006</v>
      </c>
      <c r="F41" s="518" t="s">
        <v>730</v>
      </c>
      <c r="G41" s="516">
        <v>3</v>
      </c>
      <c r="H41" s="952">
        <f t="shared" si="1"/>
        <v>2.7957000000000001</v>
      </c>
    </row>
    <row r="42" spans="1:8">
      <c r="A42" s="22" t="s">
        <v>709</v>
      </c>
      <c r="B42" s="22"/>
      <c r="C42" s="22"/>
      <c r="D42" s="518" t="s">
        <v>710</v>
      </c>
      <c r="E42" s="950">
        <v>0.5</v>
      </c>
      <c r="F42" s="518" t="s">
        <v>731</v>
      </c>
      <c r="G42" s="516">
        <v>7</v>
      </c>
      <c r="H42" s="952">
        <f t="shared" ref="H42:H47" si="2">E42*G42</f>
        <v>3.5</v>
      </c>
    </row>
    <row r="43" spans="1:8">
      <c r="A43" s="22" t="s">
        <v>711</v>
      </c>
      <c r="B43" s="22" t="s">
        <v>1234</v>
      </c>
      <c r="C43" s="658">
        <f>'Свод долгосрочный '!K9</f>
        <v>1013.658175</v>
      </c>
      <c r="D43" s="518" t="s">
        <v>712</v>
      </c>
      <c r="E43" s="950">
        <f>1/3200*C43</f>
        <v>0.31676817968750004</v>
      </c>
      <c r="F43" s="518" t="s">
        <v>732</v>
      </c>
      <c r="G43" s="516">
        <v>4</v>
      </c>
      <c r="H43" s="952">
        <f t="shared" si="2"/>
        <v>1.2670727187500002</v>
      </c>
    </row>
    <row r="44" spans="1:8">
      <c r="A44" s="4" t="s">
        <v>713</v>
      </c>
      <c r="B44" s="22"/>
      <c r="C44" s="22">
        <f>C15+C16+C17</f>
        <v>80</v>
      </c>
      <c r="D44" s="517" t="s">
        <v>714</v>
      </c>
      <c r="E44" s="950">
        <v>1</v>
      </c>
      <c r="F44" s="518" t="s">
        <v>733</v>
      </c>
      <c r="G44" s="516">
        <v>6</v>
      </c>
      <c r="H44" s="952">
        <f t="shared" si="2"/>
        <v>6</v>
      </c>
    </row>
    <row r="45" spans="1:8">
      <c r="A45" s="4" t="s">
        <v>715</v>
      </c>
      <c r="B45" s="22"/>
      <c r="C45" s="22">
        <f>C17+C16*2+C15</f>
        <v>91</v>
      </c>
      <c r="D45" s="517" t="s">
        <v>716</v>
      </c>
      <c r="E45" s="950">
        <v>0.5</v>
      </c>
      <c r="F45" s="518" t="s">
        <v>734</v>
      </c>
      <c r="G45" s="516">
        <v>6</v>
      </c>
      <c r="H45" s="952">
        <f t="shared" si="2"/>
        <v>3</v>
      </c>
    </row>
    <row r="46" spans="1:8">
      <c r="A46" s="4" t="s">
        <v>717</v>
      </c>
      <c r="B46" s="22"/>
      <c r="C46" s="22"/>
      <c r="D46" s="518" t="s">
        <v>718</v>
      </c>
      <c r="E46" s="950">
        <v>1</v>
      </c>
      <c r="F46" s="518" t="s">
        <v>735</v>
      </c>
      <c r="G46" s="516">
        <v>6</v>
      </c>
      <c r="H46" s="952">
        <f t="shared" si="2"/>
        <v>6</v>
      </c>
    </row>
    <row r="47" spans="1:8">
      <c r="A47" s="4" t="s">
        <v>719</v>
      </c>
      <c r="B47" s="22"/>
      <c r="C47" s="22">
        <f>C41</f>
        <v>9319</v>
      </c>
      <c r="D47" s="518" t="s">
        <v>758</v>
      </c>
      <c r="E47" s="950">
        <f>0.5/5000*(C23+C24)*1</f>
        <v>0.93190000000000006</v>
      </c>
      <c r="F47" s="518" t="s">
        <v>736</v>
      </c>
      <c r="G47" s="516">
        <v>7</v>
      </c>
      <c r="H47" s="952">
        <f t="shared" si="2"/>
        <v>6.5233000000000008</v>
      </c>
    </row>
    <row r="48" spans="1:8" ht="15" customHeight="1">
      <c r="A48" s="256" t="s">
        <v>1510</v>
      </c>
      <c r="B48" s="22"/>
      <c r="C48" s="22"/>
      <c r="D48" s="22"/>
      <c r="E48" s="951">
        <f>SUM(E49:E54)*1.18</f>
        <v>13.569999999999999</v>
      </c>
      <c r="F48" s="528"/>
      <c r="G48" s="525"/>
      <c r="H48" s="951">
        <f>SUM(H49:H54)*1.18</f>
        <v>51.33</v>
      </c>
    </row>
    <row r="49" spans="1:8">
      <c r="A49" s="4" t="s">
        <v>1509</v>
      </c>
      <c r="B49" s="22"/>
      <c r="C49" s="22"/>
      <c r="D49" s="22"/>
      <c r="E49" s="950">
        <v>5</v>
      </c>
      <c r="F49" s="517"/>
      <c r="G49" s="516">
        <v>4</v>
      </c>
      <c r="H49" s="952">
        <f>E49*G49</f>
        <v>20</v>
      </c>
    </row>
    <row r="50" spans="1:8">
      <c r="A50" s="4" t="s">
        <v>1319</v>
      </c>
      <c r="B50" s="22"/>
      <c r="C50" s="22"/>
      <c r="D50" s="22"/>
      <c r="E50" s="950">
        <v>1</v>
      </c>
      <c r="F50" s="517"/>
      <c r="G50" s="516">
        <v>5</v>
      </c>
      <c r="H50" s="952">
        <f>E50*G50</f>
        <v>5</v>
      </c>
    </row>
    <row r="51" spans="1:8">
      <c r="A51" s="4" t="s">
        <v>1320</v>
      </c>
      <c r="B51" s="22"/>
      <c r="C51" s="22"/>
      <c r="D51" s="22"/>
      <c r="E51" s="950">
        <v>1.5</v>
      </c>
      <c r="F51" s="517"/>
      <c r="G51" s="516">
        <v>5</v>
      </c>
      <c r="H51" s="952">
        <f>E51*G51</f>
        <v>7.5</v>
      </c>
    </row>
    <row r="52" spans="1:8">
      <c r="A52" s="4" t="s">
        <v>1321</v>
      </c>
      <c r="B52" s="22"/>
      <c r="C52" s="22"/>
      <c r="D52" s="22"/>
      <c r="E52" s="950">
        <v>1</v>
      </c>
      <c r="F52" s="517"/>
      <c r="G52" s="516">
        <v>5</v>
      </c>
      <c r="H52" s="952">
        <f>E52*G52</f>
        <v>5</v>
      </c>
    </row>
    <row r="53" spans="1:8">
      <c r="A53" s="4"/>
      <c r="B53" s="22"/>
      <c r="C53" s="22"/>
      <c r="D53" s="22"/>
      <c r="E53" s="950"/>
      <c r="F53" s="517"/>
      <c r="G53" s="516"/>
      <c r="H53" s="952"/>
    </row>
    <row r="54" spans="1:8">
      <c r="A54" s="4" t="s">
        <v>1208</v>
      </c>
      <c r="B54" s="22"/>
      <c r="C54" s="22"/>
      <c r="D54" s="22"/>
      <c r="E54" s="950">
        <v>3</v>
      </c>
      <c r="F54" s="517"/>
      <c r="G54" s="516">
        <v>2</v>
      </c>
      <c r="H54" s="952">
        <f>E54*G54</f>
        <v>6</v>
      </c>
    </row>
    <row r="55" spans="1:8" s="224" customFormat="1" ht="15.75" customHeight="1">
      <c r="A55" s="522" t="s">
        <v>737</v>
      </c>
      <c r="B55" s="237"/>
      <c r="C55" s="237"/>
      <c r="D55" s="237"/>
      <c r="E55" s="1058">
        <f>E30+E31+E48</f>
        <v>54.948633347031254</v>
      </c>
      <c r="F55" s="237"/>
      <c r="G55" s="1016">
        <f>H55/E55</f>
        <v>4.5818264616103015</v>
      </c>
      <c r="H55" s="523">
        <f>SUM(H30:H48)</f>
        <v>251.76510229875004</v>
      </c>
    </row>
    <row r="56" spans="1:8">
      <c r="E56" s="529"/>
    </row>
  </sheetData>
  <pageMargins left="0.9055118110236221" right="0.31496062992125984" top="0.35433070866141736" bottom="0.19685039370078741" header="0" footer="0"/>
  <pageSetup paperSize="9" scale="7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5">
    <tabColor indexed="22"/>
    <pageSetUpPr fitToPage="1"/>
  </sheetPr>
  <dimension ref="A1:G30"/>
  <sheetViews>
    <sheetView topLeftCell="A13" workbookViewId="0">
      <selection activeCell="D25" sqref="D25"/>
    </sheetView>
  </sheetViews>
  <sheetFormatPr defaultRowHeight="12.75"/>
  <cols>
    <col min="1" max="1" width="33.28515625" customWidth="1"/>
    <col min="2" max="2" width="10.7109375" customWidth="1"/>
    <col min="3" max="4" width="10.42578125" customWidth="1"/>
    <col min="6" max="6" width="31.85546875" customWidth="1"/>
  </cols>
  <sheetData>
    <row r="1" spans="1:7" ht="64.5" customHeight="1">
      <c r="A1" s="449" t="s">
        <v>669</v>
      </c>
      <c r="B1" s="449"/>
      <c r="C1" s="449"/>
      <c r="D1" s="449"/>
      <c r="E1" s="450"/>
      <c r="F1" s="1017">
        <v>22</v>
      </c>
    </row>
    <row r="3" spans="1:7" s="677" customFormat="1">
      <c r="A3" s="1815" t="s">
        <v>245</v>
      </c>
      <c r="B3" s="339">
        <v>2020</v>
      </c>
      <c r="C3" s="339">
        <v>2020</v>
      </c>
      <c r="D3" s="1816">
        <v>2022</v>
      </c>
      <c r="E3" s="1816"/>
    </row>
    <row r="4" spans="1:7" s="677" customFormat="1" ht="38.25">
      <c r="A4" s="1815"/>
      <c r="B4" s="318" t="s">
        <v>1225</v>
      </c>
      <c r="C4" s="318" t="s">
        <v>515</v>
      </c>
      <c r="D4" s="318" t="s">
        <v>516</v>
      </c>
      <c r="E4" s="318" t="s">
        <v>517</v>
      </c>
      <c r="F4" s="318" t="s">
        <v>802</v>
      </c>
    </row>
    <row r="5" spans="1:7" s="677" customFormat="1">
      <c r="A5" s="319">
        <v>1</v>
      </c>
      <c r="B5" s="320">
        <v>3</v>
      </c>
      <c r="C5" s="320">
        <v>4</v>
      </c>
      <c r="D5" s="320">
        <v>5</v>
      </c>
      <c r="E5" s="320">
        <v>6</v>
      </c>
      <c r="F5" s="685"/>
    </row>
    <row r="6" spans="1:7" s="677" customFormat="1">
      <c r="A6" s="530" t="s">
        <v>400</v>
      </c>
      <c r="B6" s="678">
        <f>SUM(B7:B13)</f>
        <v>93.382999999999996</v>
      </c>
      <c r="C6" s="678">
        <f>SUM(C7:C13)</f>
        <v>96.184489999999997</v>
      </c>
      <c r="D6" s="686">
        <f>SUM(D7:D13)</f>
        <v>99.070024700000005</v>
      </c>
      <c r="E6" s="678">
        <f>B6*1.047*1.03</f>
        <v>100.70516102999999</v>
      </c>
      <c r="F6" s="769"/>
      <c r="G6" s="763"/>
    </row>
    <row r="7" spans="1:7" s="677" customFormat="1">
      <c r="A7" s="203"/>
      <c r="B7" s="540"/>
      <c r="C7" s="888"/>
      <c r="D7" s="542"/>
      <c r="E7" s="542"/>
      <c r="F7" s="238"/>
    </row>
    <row r="8" spans="1:7" s="677" customFormat="1">
      <c r="A8" s="203" t="s">
        <v>1243</v>
      </c>
      <c r="B8" s="300">
        <v>25</v>
      </c>
      <c r="C8" s="300">
        <f>B8*1.03</f>
        <v>25.75</v>
      </c>
      <c r="D8" s="300">
        <f>C8*1.03</f>
        <v>26.522500000000001</v>
      </c>
      <c r="E8" s="542"/>
      <c r="F8" s="238"/>
    </row>
    <row r="9" spans="1:7" s="677" customFormat="1">
      <c r="A9" s="322" t="s">
        <v>1244</v>
      </c>
      <c r="B9" s="300">
        <f>0.3+8.25+0.6</f>
        <v>9.15</v>
      </c>
      <c r="C9" s="300">
        <f t="shared" ref="C9:D13" si="0">B9*1.03</f>
        <v>9.4245000000000001</v>
      </c>
      <c r="D9" s="300">
        <f t="shared" si="0"/>
        <v>9.7072350000000007</v>
      </c>
      <c r="E9" s="542"/>
      <c r="F9" s="685"/>
    </row>
    <row r="10" spans="1:7" s="677" customFormat="1">
      <c r="A10" s="322" t="s">
        <v>1249</v>
      </c>
      <c r="B10" s="300">
        <f>1.5*12</f>
        <v>18</v>
      </c>
      <c r="C10" s="300">
        <f t="shared" si="0"/>
        <v>18.54</v>
      </c>
      <c r="D10" s="300">
        <f t="shared" si="0"/>
        <v>19.0962</v>
      </c>
      <c r="E10" s="542"/>
      <c r="F10" s="685"/>
    </row>
    <row r="11" spans="1:7" s="677" customFormat="1">
      <c r="A11" s="685" t="s">
        <v>1245</v>
      </c>
      <c r="B11" s="300">
        <f>4.2+6.313</f>
        <v>10.513</v>
      </c>
      <c r="C11" s="300">
        <f t="shared" si="0"/>
        <v>10.828390000000001</v>
      </c>
      <c r="D11" s="300">
        <f t="shared" si="0"/>
        <v>11.153241700000001</v>
      </c>
      <c r="E11" s="542"/>
      <c r="F11" s="685"/>
    </row>
    <row r="12" spans="1:7" s="677" customFormat="1">
      <c r="A12" s="685" t="s">
        <v>1246</v>
      </c>
      <c r="B12" s="300">
        <v>21</v>
      </c>
      <c r="C12" s="300">
        <f>B12*1.03</f>
        <v>21.63</v>
      </c>
      <c r="D12" s="300">
        <f t="shared" si="0"/>
        <v>22.2789</v>
      </c>
      <c r="E12" s="542"/>
      <c r="F12" s="685"/>
    </row>
    <row r="13" spans="1:7" s="677" customFormat="1">
      <c r="A13" s="685" t="s">
        <v>1247</v>
      </c>
      <c r="B13" s="300">
        <f>0.81*12</f>
        <v>9.7200000000000006</v>
      </c>
      <c r="C13" s="300">
        <f t="shared" si="0"/>
        <v>10.011600000000001</v>
      </c>
      <c r="D13" s="300">
        <f t="shared" si="0"/>
        <v>10.311948000000001</v>
      </c>
      <c r="E13" s="542"/>
      <c r="F13" s="685"/>
    </row>
    <row r="14" spans="1:7" s="677" customFormat="1"/>
    <row r="15" spans="1:7" s="677" customFormat="1"/>
    <row r="16" spans="1:7" s="677" customFormat="1">
      <c r="A16" s="531" t="s">
        <v>670</v>
      </c>
      <c r="B16" s="531"/>
      <c r="C16" s="531"/>
      <c r="D16" s="531"/>
      <c r="E16" s="531"/>
    </row>
    <row r="17" spans="1:7" s="677" customFormat="1"/>
    <row r="18" spans="1:7" s="677" customFormat="1" ht="22.5" customHeight="1">
      <c r="A18" s="1815" t="s">
        <v>245</v>
      </c>
      <c r="B18" s="339">
        <v>2020</v>
      </c>
      <c r="C18" s="339">
        <v>2020</v>
      </c>
      <c r="D18" s="1816">
        <v>2022</v>
      </c>
      <c r="E18" s="1816"/>
    </row>
    <row r="19" spans="1:7" s="677" customFormat="1" ht="38.25">
      <c r="A19" s="1815"/>
      <c r="B19" s="318" t="s">
        <v>514</v>
      </c>
      <c r="C19" s="1622" t="s">
        <v>1520</v>
      </c>
      <c r="D19" s="318" t="s">
        <v>516</v>
      </c>
      <c r="E19" s="318" t="s">
        <v>517</v>
      </c>
      <c r="F19" s="318" t="s">
        <v>802</v>
      </c>
    </row>
    <row r="20" spans="1:7" s="677" customFormat="1">
      <c r="A20" s="319">
        <v>1</v>
      </c>
      <c r="B20" s="320">
        <v>3</v>
      </c>
      <c r="C20" s="320">
        <v>4</v>
      </c>
      <c r="D20" s="320">
        <v>5</v>
      </c>
      <c r="E20" s="320">
        <v>6</v>
      </c>
      <c r="F20" s="685"/>
    </row>
    <row r="21" spans="1:7" s="677" customFormat="1">
      <c r="A21" s="530" t="s">
        <v>400</v>
      </c>
      <c r="B21" s="686">
        <f>SUM(B22:B26)</f>
        <v>760.66300000000001</v>
      </c>
      <c r="C21" s="686">
        <f>SUM(C22:C26)</f>
        <v>693.14112826999963</v>
      </c>
      <c r="D21" s="686">
        <f>SUM(D22:D26)</f>
        <v>779.43966</v>
      </c>
      <c r="E21" s="686">
        <f>SUM(E22:E26)</f>
        <v>779.43966</v>
      </c>
      <c r="F21" s="686"/>
      <c r="G21" s="763"/>
    </row>
    <row r="22" spans="1:7" s="677" customFormat="1">
      <c r="A22" s="660" t="s">
        <v>764</v>
      </c>
      <c r="B22" s="300"/>
      <c r="C22" s="300"/>
      <c r="D22" s="300"/>
      <c r="E22" s="300"/>
      <c r="F22" s="238"/>
    </row>
    <row r="23" spans="1:7" s="677" customFormat="1" ht="25.5">
      <c r="A23" s="660" t="s">
        <v>765</v>
      </c>
      <c r="B23" s="300"/>
      <c r="C23" s="300"/>
      <c r="D23" s="300"/>
      <c r="E23" s="300"/>
      <c r="F23" s="238"/>
    </row>
    <row r="24" spans="1:7" s="677" customFormat="1">
      <c r="A24" s="660" t="s">
        <v>761</v>
      </c>
      <c r="B24" s="300">
        <v>404.32299999999998</v>
      </c>
      <c r="C24" s="300">
        <v>217.16727774170153</v>
      </c>
      <c r="D24" s="300">
        <f>B24*1.02</f>
        <v>412.40945999999997</v>
      </c>
      <c r="E24" s="300">
        <f>D24</f>
        <v>412.40945999999997</v>
      </c>
      <c r="F24" s="238"/>
    </row>
    <row r="25" spans="1:7" s="677" customFormat="1">
      <c r="A25" s="660" t="s">
        <v>762</v>
      </c>
      <c r="B25" s="300">
        <v>356.34</v>
      </c>
      <c r="C25" s="300">
        <v>475.9738505282981</v>
      </c>
      <c r="D25" s="300">
        <f>B25*1.03</f>
        <v>367.03019999999998</v>
      </c>
      <c r="E25" s="300">
        <f>D25</f>
        <v>367.03019999999998</v>
      </c>
      <c r="F25" s="685"/>
    </row>
    <row r="26" spans="1:7" s="677" customFormat="1">
      <c r="A26" s="661" t="s">
        <v>763</v>
      </c>
      <c r="B26" s="300"/>
      <c r="C26" s="300"/>
      <c r="D26" s="300"/>
      <c r="E26" s="300"/>
      <c r="F26" s="685"/>
    </row>
    <row r="30" spans="1:7">
      <c r="C30" s="973"/>
    </row>
  </sheetData>
  <protectedRanges>
    <protectedRange sqref="B7:B13 B22:B26 D7:D13" name="Диапазон1"/>
    <protectedRange sqref="A22:A25 A7:A10" name="Диапазон1_1"/>
    <protectedRange sqref="D22:D26" name="Диапазон1_2"/>
  </protectedRanges>
  <mergeCells count="4">
    <mergeCell ref="A3:A4"/>
    <mergeCell ref="D3:E3"/>
    <mergeCell ref="A18:A19"/>
    <mergeCell ref="D18:E18"/>
  </mergeCells>
  <pageMargins left="0.70866141732283472" right="0.11811023622047245" top="0" bottom="0.74803149606299213" header="0" footer="0.31496062992125984"/>
  <pageSetup paperSize="9" scale="9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K17"/>
  <sheetViews>
    <sheetView workbookViewId="0">
      <selection sqref="A1:H1"/>
    </sheetView>
  </sheetViews>
  <sheetFormatPr defaultRowHeight="12.75"/>
  <cols>
    <col min="1" max="1" width="64" customWidth="1"/>
    <col min="2" max="2" width="10.7109375" customWidth="1"/>
    <col min="3" max="3" width="11.85546875" customWidth="1"/>
    <col min="4" max="8" width="10" customWidth="1"/>
  </cols>
  <sheetData>
    <row r="1" spans="1:11" ht="65.25" customHeight="1">
      <c r="A1" s="1885" t="s">
        <v>88</v>
      </c>
      <c r="B1" s="1885"/>
      <c r="C1" s="1885"/>
      <c r="D1" s="1885"/>
      <c r="E1" s="1885"/>
      <c r="F1" s="1885"/>
      <c r="G1" s="1885"/>
      <c r="H1" s="1885"/>
      <c r="I1" s="1018">
        <v>23</v>
      </c>
    </row>
    <row r="2" spans="1:11" ht="18.75">
      <c r="A2" s="278"/>
      <c r="B2" s="279"/>
      <c r="C2" s="279"/>
      <c r="D2" s="280"/>
      <c r="E2" s="280"/>
      <c r="F2" s="282" t="s">
        <v>550</v>
      </c>
      <c r="G2" s="271"/>
      <c r="H2" s="271"/>
      <c r="I2" s="271"/>
    </row>
    <row r="3" spans="1:11" ht="15.75">
      <c r="A3" s="1886" t="s">
        <v>269</v>
      </c>
      <c r="B3" s="340">
        <v>2018</v>
      </c>
      <c r="C3" s="340">
        <v>2019</v>
      </c>
      <c r="D3" s="1887">
        <v>2020</v>
      </c>
      <c r="E3" s="1887"/>
      <c r="F3" s="1887"/>
      <c r="G3" s="1887"/>
      <c r="H3" s="1887"/>
      <c r="I3" s="1887"/>
    </row>
    <row r="4" spans="1:11" ht="16.5" customHeight="1">
      <c r="A4" s="1886"/>
      <c r="B4" s="1886" t="s">
        <v>514</v>
      </c>
      <c r="C4" s="1886" t="s">
        <v>551</v>
      </c>
      <c r="D4" s="1888" t="s">
        <v>516</v>
      </c>
      <c r="E4" s="1888"/>
      <c r="F4" s="1888"/>
      <c r="G4" s="1889" t="s">
        <v>517</v>
      </c>
      <c r="H4" s="1889"/>
      <c r="I4" s="1889"/>
    </row>
    <row r="5" spans="1:11" ht="25.5">
      <c r="A5" s="1886"/>
      <c r="B5" s="1886"/>
      <c r="C5" s="1886"/>
      <c r="D5" s="318" t="s">
        <v>585</v>
      </c>
      <c r="E5" s="318" t="s">
        <v>580</v>
      </c>
      <c r="F5" s="318" t="s">
        <v>586</v>
      </c>
      <c r="G5" s="318" t="s">
        <v>585</v>
      </c>
      <c r="H5" s="318" t="s">
        <v>580</v>
      </c>
      <c r="I5" s="318" t="s">
        <v>586</v>
      </c>
    </row>
    <row r="6" spans="1:11">
      <c r="A6" s="328">
        <v>1</v>
      </c>
      <c r="B6" s="328">
        <v>3</v>
      </c>
      <c r="C6" s="328">
        <v>4</v>
      </c>
      <c r="D6" s="328">
        <v>5</v>
      </c>
      <c r="E6" s="328">
        <v>6</v>
      </c>
      <c r="F6" s="328">
        <v>7</v>
      </c>
      <c r="G6" s="324">
        <v>8</v>
      </c>
      <c r="H6" s="324">
        <v>9</v>
      </c>
      <c r="I6" s="324">
        <v>10</v>
      </c>
    </row>
    <row r="7" spans="1:11" s="677" customFormat="1" ht="32.25" customHeight="1">
      <c r="A7" s="530" t="s">
        <v>552</v>
      </c>
      <c r="B7" s="687">
        <f>B8*B9*12/1000</f>
        <v>0</v>
      </c>
      <c r="C7" s="687">
        <f>C8*C9*12/1000</f>
        <v>0</v>
      </c>
      <c r="D7" s="687">
        <f>D8*D9*6/1000</f>
        <v>0</v>
      </c>
      <c r="E7" s="687">
        <f>E8*E9*6/1000</f>
        <v>0</v>
      </c>
      <c r="F7" s="687">
        <f>E7+D7</f>
        <v>0</v>
      </c>
      <c r="G7" s="687">
        <f>G8*G9*6/1000</f>
        <v>0</v>
      </c>
      <c r="H7" s="687">
        <f>H8*H9*6/1000</f>
        <v>0</v>
      </c>
      <c r="I7" s="687">
        <f>G7+H7</f>
        <v>0</v>
      </c>
    </row>
    <row r="8" spans="1:11" s="677" customFormat="1" ht="32.25" customHeight="1">
      <c r="A8" s="332" t="s">
        <v>553</v>
      </c>
      <c r="B8" s="688"/>
      <c r="C8" s="688"/>
      <c r="D8" s="688"/>
      <c r="E8" s="688"/>
      <c r="F8" s="688"/>
      <c r="G8" s="688"/>
      <c r="H8" s="688"/>
      <c r="I8" s="688"/>
    </row>
    <row r="9" spans="1:11" s="677" customFormat="1" ht="49.5" customHeight="1">
      <c r="A9" s="332" t="s">
        <v>554</v>
      </c>
      <c r="B9" s="688"/>
      <c r="C9" s="688"/>
      <c r="D9" s="688"/>
      <c r="E9" s="688"/>
      <c r="F9" s="688"/>
      <c r="G9" s="417"/>
      <c r="H9" s="417"/>
      <c r="I9" s="417"/>
    </row>
    <row r="10" spans="1:11" s="677" customFormat="1" ht="32.25" customHeight="1">
      <c r="A10" s="530" t="s">
        <v>555</v>
      </c>
      <c r="B10" s="687">
        <f>B11*B14</f>
        <v>0</v>
      </c>
      <c r="C10" s="687">
        <f>C11*C14</f>
        <v>0</v>
      </c>
      <c r="D10" s="687">
        <f>D11*D14</f>
        <v>0</v>
      </c>
      <c r="E10" s="687">
        <f>E11*E14</f>
        <v>0</v>
      </c>
      <c r="F10" s="687">
        <f>D10+E10</f>
        <v>0</v>
      </c>
      <c r="G10" s="687">
        <f>G11*G14</f>
        <v>0</v>
      </c>
      <c r="H10" s="687">
        <f>H11*H14</f>
        <v>0</v>
      </c>
      <c r="I10" s="687">
        <f>G10+H10</f>
        <v>0</v>
      </c>
    </row>
    <row r="11" spans="1:11" s="677" customFormat="1" ht="32.25" customHeight="1">
      <c r="A11" s="332" t="s">
        <v>556</v>
      </c>
      <c r="B11" s="688"/>
      <c r="C11" s="688"/>
      <c r="D11" s="689"/>
      <c r="E11" s="689"/>
      <c r="F11" s="689"/>
      <c r="G11" s="690"/>
      <c r="H11" s="690"/>
      <c r="I11" s="690"/>
      <c r="J11" s="691"/>
      <c r="K11" s="691"/>
    </row>
    <row r="12" spans="1:11" s="677" customFormat="1" ht="32.25" customHeight="1">
      <c r="A12" s="322" t="s">
        <v>557</v>
      </c>
      <c r="B12" s="688"/>
      <c r="C12" s="688"/>
      <c r="D12" s="688"/>
      <c r="E12" s="688"/>
      <c r="F12" s="688"/>
      <c r="G12" s="688"/>
      <c r="H12" s="688"/>
      <c r="I12" s="688"/>
      <c r="J12" s="691"/>
      <c r="K12" s="691"/>
    </row>
    <row r="13" spans="1:11" s="677" customFormat="1" ht="59.25" customHeight="1">
      <c r="A13" s="322" t="s">
        <v>558</v>
      </c>
      <c r="B13" s="688"/>
      <c r="C13" s="688"/>
      <c r="D13" s="417"/>
      <c r="E13" s="417"/>
      <c r="F13" s="417"/>
      <c r="G13" s="417"/>
      <c r="H13" s="417"/>
      <c r="I13" s="417"/>
      <c r="J13" s="691"/>
      <c r="K13" s="691"/>
    </row>
    <row r="14" spans="1:11" s="677" customFormat="1" ht="42.75" customHeight="1">
      <c r="A14" s="332" t="s">
        <v>559</v>
      </c>
      <c r="B14" s="688"/>
      <c r="C14" s="688"/>
      <c r="D14" s="417"/>
      <c r="E14" s="417"/>
      <c r="F14" s="417"/>
      <c r="G14" s="417"/>
      <c r="H14" s="417"/>
      <c r="I14" s="417"/>
      <c r="J14" s="691"/>
      <c r="K14" s="691"/>
    </row>
    <row r="15" spans="1:11" s="677" customFormat="1" ht="32.25" customHeight="1">
      <c r="A15" s="530" t="s">
        <v>560</v>
      </c>
      <c r="B15" s="687">
        <f>B7+B10</f>
        <v>0</v>
      </c>
      <c r="C15" s="687">
        <f>C7+C10</f>
        <v>0</v>
      </c>
      <c r="D15" s="687">
        <f t="shared" ref="D15:I15" si="0">D7+D10</f>
        <v>0</v>
      </c>
      <c r="E15" s="687">
        <f>E7+E10</f>
        <v>0</v>
      </c>
      <c r="F15" s="687">
        <f t="shared" si="0"/>
        <v>0</v>
      </c>
      <c r="G15" s="687">
        <f t="shared" si="0"/>
        <v>0</v>
      </c>
      <c r="H15" s="687">
        <f t="shared" si="0"/>
        <v>0</v>
      </c>
      <c r="I15" s="687">
        <f t="shared" si="0"/>
        <v>0</v>
      </c>
    </row>
    <row r="16" spans="1:11" s="677" customFormat="1">
      <c r="A16" s="851" t="s">
        <v>766</v>
      </c>
      <c r="B16" s="692"/>
      <c r="C16" s="685"/>
      <c r="D16" s="685"/>
      <c r="E16" s="685"/>
      <c r="F16" s="685"/>
      <c r="G16" s="685"/>
      <c r="H16" s="685"/>
      <c r="I16" s="685"/>
    </row>
    <row r="17" spans="1:9" s="677" customFormat="1">
      <c r="A17" s="530" t="s">
        <v>927</v>
      </c>
      <c r="B17" s="692">
        <f>B15+B16</f>
        <v>0</v>
      </c>
      <c r="C17" s="692">
        <f t="shared" ref="C17:I17" si="1">C15+C16</f>
        <v>0</v>
      </c>
      <c r="D17" s="692">
        <f t="shared" si="1"/>
        <v>0</v>
      </c>
      <c r="E17" s="692">
        <f t="shared" si="1"/>
        <v>0</v>
      </c>
      <c r="F17" s="692">
        <f t="shared" si="1"/>
        <v>0</v>
      </c>
      <c r="G17" s="692">
        <f t="shared" si="1"/>
        <v>0</v>
      </c>
      <c r="H17" s="692">
        <f t="shared" si="1"/>
        <v>0</v>
      </c>
      <c r="I17" s="692">
        <f t="shared" si="1"/>
        <v>0</v>
      </c>
    </row>
  </sheetData>
  <protectedRanges>
    <protectedRange sqref="G9:I11 G13:I14 B7:I7 B10:C10 D8:F14" name="Диапазон1"/>
    <protectedRange sqref="A7:A14" name="Диапазон1_1"/>
  </protectedRanges>
  <mergeCells count="7">
    <mergeCell ref="A1:H1"/>
    <mergeCell ref="A3:A5"/>
    <mergeCell ref="D3:I3"/>
    <mergeCell ref="B4:B5"/>
    <mergeCell ref="C4:C5"/>
    <mergeCell ref="D4:F4"/>
    <mergeCell ref="G4:I4"/>
  </mergeCells>
  <pageMargins left="0.9055118110236221" right="0" top="0" bottom="0.74803149606299213" header="0" footer="0.31496062992125984"/>
  <pageSetup paperSize="9" scale="6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9"/>
  <sheetViews>
    <sheetView workbookViewId="0"/>
  </sheetViews>
  <sheetFormatPr defaultRowHeight="12.75"/>
  <cols>
    <col min="1" max="1" width="19.7109375" style="1082" customWidth="1"/>
    <col min="2" max="3" width="5.42578125" style="1082" customWidth="1"/>
    <col min="4" max="4" width="5" style="1082" customWidth="1"/>
    <col min="5" max="5" width="4.7109375" style="1082" customWidth="1"/>
    <col min="6" max="6" width="4.28515625" style="1082" customWidth="1"/>
    <col min="7" max="7" width="5.140625" style="1082" customWidth="1"/>
    <col min="8" max="8" width="4.140625" style="1082" customWidth="1"/>
    <col min="9" max="9" width="3.85546875" style="1082" customWidth="1"/>
    <col min="10" max="11" width="5" style="1082" customWidth="1"/>
    <col min="12" max="12" width="5.140625" style="1082" customWidth="1"/>
    <col min="13" max="13" width="5.28515625" style="1082" customWidth="1"/>
    <col min="14" max="14" width="5.85546875" style="1082" customWidth="1"/>
    <col min="15" max="15" width="5.7109375" style="1082" customWidth="1"/>
    <col min="16" max="16" width="5.42578125" style="1082" customWidth="1"/>
    <col min="17" max="17" width="6.42578125" style="1082" customWidth="1"/>
    <col min="18" max="20" width="4.7109375" style="1082" customWidth="1"/>
    <col min="21" max="22" width="9.140625" style="1082"/>
    <col min="23" max="23" width="5.85546875" style="1082" customWidth="1"/>
    <col min="24" max="256" width="9.140625" style="1082"/>
    <col min="257" max="257" width="15.7109375" style="1082" customWidth="1"/>
    <col min="258" max="259" width="5.42578125" style="1082" customWidth="1"/>
    <col min="260" max="260" width="5" style="1082" customWidth="1"/>
    <col min="261" max="261" width="4.7109375" style="1082" customWidth="1"/>
    <col min="262" max="262" width="4.28515625" style="1082" customWidth="1"/>
    <col min="263" max="263" width="5.140625" style="1082" customWidth="1"/>
    <col min="264" max="264" width="4.140625" style="1082" customWidth="1"/>
    <col min="265" max="265" width="3.85546875" style="1082" customWidth="1"/>
    <col min="266" max="267" width="5" style="1082" customWidth="1"/>
    <col min="268" max="268" width="5.140625" style="1082" customWidth="1"/>
    <col min="269" max="269" width="5.28515625" style="1082" customWidth="1"/>
    <col min="270" max="270" width="5.85546875" style="1082" customWidth="1"/>
    <col min="271" max="271" width="5.7109375" style="1082" customWidth="1"/>
    <col min="272" max="272" width="5.42578125" style="1082" customWidth="1"/>
    <col min="273" max="273" width="6.42578125" style="1082" customWidth="1"/>
    <col min="274" max="276" width="4.7109375" style="1082" customWidth="1"/>
    <col min="277" max="278" width="9.140625" style="1082"/>
    <col min="279" max="279" width="5.85546875" style="1082" customWidth="1"/>
    <col min="280" max="512" width="9.140625" style="1082"/>
    <col min="513" max="513" width="15.7109375" style="1082" customWidth="1"/>
    <col min="514" max="515" width="5.42578125" style="1082" customWidth="1"/>
    <col min="516" max="516" width="5" style="1082" customWidth="1"/>
    <col min="517" max="517" width="4.7109375" style="1082" customWidth="1"/>
    <col min="518" max="518" width="4.28515625" style="1082" customWidth="1"/>
    <col min="519" max="519" width="5.140625" style="1082" customWidth="1"/>
    <col min="520" max="520" width="4.140625" style="1082" customWidth="1"/>
    <col min="521" max="521" width="3.85546875" style="1082" customWidth="1"/>
    <col min="522" max="523" width="5" style="1082" customWidth="1"/>
    <col min="524" max="524" width="5.140625" style="1082" customWidth="1"/>
    <col min="525" max="525" width="5.28515625" style="1082" customWidth="1"/>
    <col min="526" max="526" width="5.85546875" style="1082" customWidth="1"/>
    <col min="527" max="527" width="5.7109375" style="1082" customWidth="1"/>
    <col min="528" max="528" width="5.42578125" style="1082" customWidth="1"/>
    <col min="529" max="529" width="6.42578125" style="1082" customWidth="1"/>
    <col min="530" max="532" width="4.7109375" style="1082" customWidth="1"/>
    <col min="533" max="534" width="9.140625" style="1082"/>
    <col min="535" max="535" width="5.85546875" style="1082" customWidth="1"/>
    <col min="536" max="768" width="9.140625" style="1082"/>
    <col min="769" max="769" width="15.7109375" style="1082" customWidth="1"/>
    <col min="770" max="771" width="5.42578125" style="1082" customWidth="1"/>
    <col min="772" max="772" width="5" style="1082" customWidth="1"/>
    <col min="773" max="773" width="4.7109375" style="1082" customWidth="1"/>
    <col min="774" max="774" width="4.28515625" style="1082" customWidth="1"/>
    <col min="775" max="775" width="5.140625" style="1082" customWidth="1"/>
    <col min="776" max="776" width="4.140625" style="1082" customWidth="1"/>
    <col min="777" max="777" width="3.85546875" style="1082" customWidth="1"/>
    <col min="778" max="779" width="5" style="1082" customWidth="1"/>
    <col min="780" max="780" width="5.140625" style="1082" customWidth="1"/>
    <col min="781" max="781" width="5.28515625" style="1082" customWidth="1"/>
    <col min="782" max="782" width="5.85546875" style="1082" customWidth="1"/>
    <col min="783" max="783" width="5.7109375" style="1082" customWidth="1"/>
    <col min="784" max="784" width="5.42578125" style="1082" customWidth="1"/>
    <col min="785" max="785" width="6.42578125" style="1082" customWidth="1"/>
    <col min="786" max="788" width="4.7109375" style="1082" customWidth="1"/>
    <col min="789" max="790" width="9.140625" style="1082"/>
    <col min="791" max="791" width="5.85546875" style="1082" customWidth="1"/>
    <col min="792" max="1024" width="9.140625" style="1082"/>
    <col min="1025" max="1025" width="15.7109375" style="1082" customWidth="1"/>
    <col min="1026" max="1027" width="5.42578125" style="1082" customWidth="1"/>
    <col min="1028" max="1028" width="5" style="1082" customWidth="1"/>
    <col min="1029" max="1029" width="4.7109375" style="1082" customWidth="1"/>
    <col min="1030" max="1030" width="4.28515625" style="1082" customWidth="1"/>
    <col min="1031" max="1031" width="5.140625" style="1082" customWidth="1"/>
    <col min="1032" max="1032" width="4.140625" style="1082" customWidth="1"/>
    <col min="1033" max="1033" width="3.85546875" style="1082" customWidth="1"/>
    <col min="1034" max="1035" width="5" style="1082" customWidth="1"/>
    <col min="1036" max="1036" width="5.140625" style="1082" customWidth="1"/>
    <col min="1037" max="1037" width="5.28515625" style="1082" customWidth="1"/>
    <col min="1038" max="1038" width="5.85546875" style="1082" customWidth="1"/>
    <col min="1039" max="1039" width="5.7109375" style="1082" customWidth="1"/>
    <col min="1040" max="1040" width="5.42578125" style="1082" customWidth="1"/>
    <col min="1041" max="1041" width="6.42578125" style="1082" customWidth="1"/>
    <col min="1042" max="1044" width="4.7109375" style="1082" customWidth="1"/>
    <col min="1045" max="1046" width="9.140625" style="1082"/>
    <col min="1047" max="1047" width="5.85546875" style="1082" customWidth="1"/>
    <col min="1048" max="1280" width="9.140625" style="1082"/>
    <col min="1281" max="1281" width="15.7109375" style="1082" customWidth="1"/>
    <col min="1282" max="1283" width="5.42578125" style="1082" customWidth="1"/>
    <col min="1284" max="1284" width="5" style="1082" customWidth="1"/>
    <col min="1285" max="1285" width="4.7109375" style="1082" customWidth="1"/>
    <col min="1286" max="1286" width="4.28515625" style="1082" customWidth="1"/>
    <col min="1287" max="1287" width="5.140625" style="1082" customWidth="1"/>
    <col min="1288" max="1288" width="4.140625" style="1082" customWidth="1"/>
    <col min="1289" max="1289" width="3.85546875" style="1082" customWidth="1"/>
    <col min="1290" max="1291" width="5" style="1082" customWidth="1"/>
    <col min="1292" max="1292" width="5.140625" style="1082" customWidth="1"/>
    <col min="1293" max="1293" width="5.28515625" style="1082" customWidth="1"/>
    <col min="1294" max="1294" width="5.85546875" style="1082" customWidth="1"/>
    <col min="1295" max="1295" width="5.7109375" style="1082" customWidth="1"/>
    <col min="1296" max="1296" width="5.42578125" style="1082" customWidth="1"/>
    <col min="1297" max="1297" width="6.42578125" style="1082" customWidth="1"/>
    <col min="1298" max="1300" width="4.7109375" style="1082" customWidth="1"/>
    <col min="1301" max="1302" width="9.140625" style="1082"/>
    <col min="1303" max="1303" width="5.85546875" style="1082" customWidth="1"/>
    <col min="1304" max="1536" width="9.140625" style="1082"/>
    <col min="1537" max="1537" width="15.7109375" style="1082" customWidth="1"/>
    <col min="1538" max="1539" width="5.42578125" style="1082" customWidth="1"/>
    <col min="1540" max="1540" width="5" style="1082" customWidth="1"/>
    <col min="1541" max="1541" width="4.7109375" style="1082" customWidth="1"/>
    <col min="1542" max="1542" width="4.28515625" style="1082" customWidth="1"/>
    <col min="1543" max="1543" width="5.140625" style="1082" customWidth="1"/>
    <col min="1544" max="1544" width="4.140625" style="1082" customWidth="1"/>
    <col min="1545" max="1545" width="3.85546875" style="1082" customWidth="1"/>
    <col min="1546" max="1547" width="5" style="1082" customWidth="1"/>
    <col min="1548" max="1548" width="5.140625" style="1082" customWidth="1"/>
    <col min="1549" max="1549" width="5.28515625" style="1082" customWidth="1"/>
    <col min="1550" max="1550" width="5.85546875" style="1082" customWidth="1"/>
    <col min="1551" max="1551" width="5.7109375" style="1082" customWidth="1"/>
    <col min="1552" max="1552" width="5.42578125" style="1082" customWidth="1"/>
    <col min="1553" max="1553" width="6.42578125" style="1082" customWidth="1"/>
    <col min="1554" max="1556" width="4.7109375" style="1082" customWidth="1"/>
    <col min="1557" max="1558" width="9.140625" style="1082"/>
    <col min="1559" max="1559" width="5.85546875" style="1082" customWidth="1"/>
    <col min="1560" max="1792" width="9.140625" style="1082"/>
    <col min="1793" max="1793" width="15.7109375" style="1082" customWidth="1"/>
    <col min="1794" max="1795" width="5.42578125" style="1082" customWidth="1"/>
    <col min="1796" max="1796" width="5" style="1082" customWidth="1"/>
    <col min="1797" max="1797" width="4.7109375" style="1082" customWidth="1"/>
    <col min="1798" max="1798" width="4.28515625" style="1082" customWidth="1"/>
    <col min="1799" max="1799" width="5.140625" style="1082" customWidth="1"/>
    <col min="1800" max="1800" width="4.140625" style="1082" customWidth="1"/>
    <col min="1801" max="1801" width="3.85546875" style="1082" customWidth="1"/>
    <col min="1802" max="1803" width="5" style="1082" customWidth="1"/>
    <col min="1804" max="1804" width="5.140625" style="1082" customWidth="1"/>
    <col min="1805" max="1805" width="5.28515625" style="1082" customWidth="1"/>
    <col min="1806" max="1806" width="5.85546875" style="1082" customWidth="1"/>
    <col min="1807" max="1807" width="5.7109375" style="1082" customWidth="1"/>
    <col min="1808" max="1808" width="5.42578125" style="1082" customWidth="1"/>
    <col min="1809" max="1809" width="6.42578125" style="1082" customWidth="1"/>
    <col min="1810" max="1812" width="4.7109375" style="1082" customWidth="1"/>
    <col min="1813" max="1814" width="9.140625" style="1082"/>
    <col min="1815" max="1815" width="5.85546875" style="1082" customWidth="1"/>
    <col min="1816" max="2048" width="9.140625" style="1082"/>
    <col min="2049" max="2049" width="15.7109375" style="1082" customWidth="1"/>
    <col min="2050" max="2051" width="5.42578125" style="1082" customWidth="1"/>
    <col min="2052" max="2052" width="5" style="1082" customWidth="1"/>
    <col min="2053" max="2053" width="4.7109375" style="1082" customWidth="1"/>
    <col min="2054" max="2054" width="4.28515625" style="1082" customWidth="1"/>
    <col min="2055" max="2055" width="5.140625" style="1082" customWidth="1"/>
    <col min="2056" max="2056" width="4.140625" style="1082" customWidth="1"/>
    <col min="2057" max="2057" width="3.85546875" style="1082" customWidth="1"/>
    <col min="2058" max="2059" width="5" style="1082" customWidth="1"/>
    <col min="2060" max="2060" width="5.140625" style="1082" customWidth="1"/>
    <col min="2061" max="2061" width="5.28515625" style="1082" customWidth="1"/>
    <col min="2062" max="2062" width="5.85546875" style="1082" customWidth="1"/>
    <col min="2063" max="2063" width="5.7109375" style="1082" customWidth="1"/>
    <col min="2064" max="2064" width="5.42578125" style="1082" customWidth="1"/>
    <col min="2065" max="2065" width="6.42578125" style="1082" customWidth="1"/>
    <col min="2066" max="2068" width="4.7109375" style="1082" customWidth="1"/>
    <col min="2069" max="2070" width="9.140625" style="1082"/>
    <col min="2071" max="2071" width="5.85546875" style="1082" customWidth="1"/>
    <col min="2072" max="2304" width="9.140625" style="1082"/>
    <col min="2305" max="2305" width="15.7109375" style="1082" customWidth="1"/>
    <col min="2306" max="2307" width="5.42578125" style="1082" customWidth="1"/>
    <col min="2308" max="2308" width="5" style="1082" customWidth="1"/>
    <col min="2309" max="2309" width="4.7109375" style="1082" customWidth="1"/>
    <col min="2310" max="2310" width="4.28515625" style="1082" customWidth="1"/>
    <col min="2311" max="2311" width="5.140625" style="1082" customWidth="1"/>
    <col min="2312" max="2312" width="4.140625" style="1082" customWidth="1"/>
    <col min="2313" max="2313" width="3.85546875" style="1082" customWidth="1"/>
    <col min="2314" max="2315" width="5" style="1082" customWidth="1"/>
    <col min="2316" max="2316" width="5.140625" style="1082" customWidth="1"/>
    <col min="2317" max="2317" width="5.28515625" style="1082" customWidth="1"/>
    <col min="2318" max="2318" width="5.85546875" style="1082" customWidth="1"/>
    <col min="2319" max="2319" width="5.7109375" style="1082" customWidth="1"/>
    <col min="2320" max="2320" width="5.42578125" style="1082" customWidth="1"/>
    <col min="2321" max="2321" width="6.42578125" style="1082" customWidth="1"/>
    <col min="2322" max="2324" width="4.7109375" style="1082" customWidth="1"/>
    <col min="2325" max="2326" width="9.140625" style="1082"/>
    <col min="2327" max="2327" width="5.85546875" style="1082" customWidth="1"/>
    <col min="2328" max="2560" width="9.140625" style="1082"/>
    <col min="2561" max="2561" width="15.7109375" style="1082" customWidth="1"/>
    <col min="2562" max="2563" width="5.42578125" style="1082" customWidth="1"/>
    <col min="2564" max="2564" width="5" style="1082" customWidth="1"/>
    <col min="2565" max="2565" width="4.7109375" style="1082" customWidth="1"/>
    <col min="2566" max="2566" width="4.28515625" style="1082" customWidth="1"/>
    <col min="2567" max="2567" width="5.140625" style="1082" customWidth="1"/>
    <col min="2568" max="2568" width="4.140625" style="1082" customWidth="1"/>
    <col min="2569" max="2569" width="3.85546875" style="1082" customWidth="1"/>
    <col min="2570" max="2571" width="5" style="1082" customWidth="1"/>
    <col min="2572" max="2572" width="5.140625" style="1082" customWidth="1"/>
    <col min="2573" max="2573" width="5.28515625" style="1082" customWidth="1"/>
    <col min="2574" max="2574" width="5.85546875" style="1082" customWidth="1"/>
    <col min="2575" max="2575" width="5.7109375" style="1082" customWidth="1"/>
    <col min="2576" max="2576" width="5.42578125" style="1082" customWidth="1"/>
    <col min="2577" max="2577" width="6.42578125" style="1082" customWidth="1"/>
    <col min="2578" max="2580" width="4.7109375" style="1082" customWidth="1"/>
    <col min="2581" max="2582" width="9.140625" style="1082"/>
    <col min="2583" max="2583" width="5.85546875" style="1082" customWidth="1"/>
    <col min="2584" max="2816" width="9.140625" style="1082"/>
    <col min="2817" max="2817" width="15.7109375" style="1082" customWidth="1"/>
    <col min="2818" max="2819" width="5.42578125" style="1082" customWidth="1"/>
    <col min="2820" max="2820" width="5" style="1082" customWidth="1"/>
    <col min="2821" max="2821" width="4.7109375" style="1082" customWidth="1"/>
    <col min="2822" max="2822" width="4.28515625" style="1082" customWidth="1"/>
    <col min="2823" max="2823" width="5.140625" style="1082" customWidth="1"/>
    <col min="2824" max="2824" width="4.140625" style="1082" customWidth="1"/>
    <col min="2825" max="2825" width="3.85546875" style="1082" customWidth="1"/>
    <col min="2826" max="2827" width="5" style="1082" customWidth="1"/>
    <col min="2828" max="2828" width="5.140625" style="1082" customWidth="1"/>
    <col min="2829" max="2829" width="5.28515625" style="1082" customWidth="1"/>
    <col min="2830" max="2830" width="5.85546875" style="1082" customWidth="1"/>
    <col min="2831" max="2831" width="5.7109375" style="1082" customWidth="1"/>
    <col min="2832" max="2832" width="5.42578125" style="1082" customWidth="1"/>
    <col min="2833" max="2833" width="6.42578125" style="1082" customWidth="1"/>
    <col min="2834" max="2836" width="4.7109375" style="1082" customWidth="1"/>
    <col min="2837" max="2838" width="9.140625" style="1082"/>
    <col min="2839" max="2839" width="5.85546875" style="1082" customWidth="1"/>
    <col min="2840" max="3072" width="9.140625" style="1082"/>
    <col min="3073" max="3073" width="15.7109375" style="1082" customWidth="1"/>
    <col min="3074" max="3075" width="5.42578125" style="1082" customWidth="1"/>
    <col min="3076" max="3076" width="5" style="1082" customWidth="1"/>
    <col min="3077" max="3077" width="4.7109375" style="1082" customWidth="1"/>
    <col min="3078" max="3078" width="4.28515625" style="1082" customWidth="1"/>
    <col min="3079" max="3079" width="5.140625" style="1082" customWidth="1"/>
    <col min="3080" max="3080" width="4.140625" style="1082" customWidth="1"/>
    <col min="3081" max="3081" width="3.85546875" style="1082" customWidth="1"/>
    <col min="3082" max="3083" width="5" style="1082" customWidth="1"/>
    <col min="3084" max="3084" width="5.140625" style="1082" customWidth="1"/>
    <col min="3085" max="3085" width="5.28515625" style="1082" customWidth="1"/>
    <col min="3086" max="3086" width="5.85546875" style="1082" customWidth="1"/>
    <col min="3087" max="3087" width="5.7109375" style="1082" customWidth="1"/>
    <col min="3088" max="3088" width="5.42578125" style="1082" customWidth="1"/>
    <col min="3089" max="3089" width="6.42578125" style="1082" customWidth="1"/>
    <col min="3090" max="3092" width="4.7109375" style="1082" customWidth="1"/>
    <col min="3093" max="3094" width="9.140625" style="1082"/>
    <col min="3095" max="3095" width="5.85546875" style="1082" customWidth="1"/>
    <col min="3096" max="3328" width="9.140625" style="1082"/>
    <col min="3329" max="3329" width="15.7109375" style="1082" customWidth="1"/>
    <col min="3330" max="3331" width="5.42578125" style="1082" customWidth="1"/>
    <col min="3332" max="3332" width="5" style="1082" customWidth="1"/>
    <col min="3333" max="3333" width="4.7109375" style="1082" customWidth="1"/>
    <col min="3334" max="3334" width="4.28515625" style="1082" customWidth="1"/>
    <col min="3335" max="3335" width="5.140625" style="1082" customWidth="1"/>
    <col min="3336" max="3336" width="4.140625" style="1082" customWidth="1"/>
    <col min="3337" max="3337" width="3.85546875" style="1082" customWidth="1"/>
    <col min="3338" max="3339" width="5" style="1082" customWidth="1"/>
    <col min="3340" max="3340" width="5.140625" style="1082" customWidth="1"/>
    <col min="3341" max="3341" width="5.28515625" style="1082" customWidth="1"/>
    <col min="3342" max="3342" width="5.85546875" style="1082" customWidth="1"/>
    <col min="3343" max="3343" width="5.7109375" style="1082" customWidth="1"/>
    <col min="3344" max="3344" width="5.42578125" style="1082" customWidth="1"/>
    <col min="3345" max="3345" width="6.42578125" style="1082" customWidth="1"/>
    <col min="3346" max="3348" width="4.7109375" style="1082" customWidth="1"/>
    <col min="3349" max="3350" width="9.140625" style="1082"/>
    <col min="3351" max="3351" width="5.85546875" style="1082" customWidth="1"/>
    <col min="3352" max="3584" width="9.140625" style="1082"/>
    <col min="3585" max="3585" width="15.7109375" style="1082" customWidth="1"/>
    <col min="3586" max="3587" width="5.42578125" style="1082" customWidth="1"/>
    <col min="3588" max="3588" width="5" style="1082" customWidth="1"/>
    <col min="3589" max="3589" width="4.7109375" style="1082" customWidth="1"/>
    <col min="3590" max="3590" width="4.28515625" style="1082" customWidth="1"/>
    <col min="3591" max="3591" width="5.140625" style="1082" customWidth="1"/>
    <col min="3592" max="3592" width="4.140625" style="1082" customWidth="1"/>
    <col min="3593" max="3593" width="3.85546875" style="1082" customWidth="1"/>
    <col min="3594" max="3595" width="5" style="1082" customWidth="1"/>
    <col min="3596" max="3596" width="5.140625" style="1082" customWidth="1"/>
    <col min="3597" max="3597" width="5.28515625" style="1082" customWidth="1"/>
    <col min="3598" max="3598" width="5.85546875" style="1082" customWidth="1"/>
    <col min="3599" max="3599" width="5.7109375" style="1082" customWidth="1"/>
    <col min="3600" max="3600" width="5.42578125" style="1082" customWidth="1"/>
    <col min="3601" max="3601" width="6.42578125" style="1082" customWidth="1"/>
    <col min="3602" max="3604" width="4.7109375" style="1082" customWidth="1"/>
    <col min="3605" max="3606" width="9.140625" style="1082"/>
    <col min="3607" max="3607" width="5.85546875" style="1082" customWidth="1"/>
    <col min="3608" max="3840" width="9.140625" style="1082"/>
    <col min="3841" max="3841" width="15.7109375" style="1082" customWidth="1"/>
    <col min="3842" max="3843" width="5.42578125" style="1082" customWidth="1"/>
    <col min="3844" max="3844" width="5" style="1082" customWidth="1"/>
    <col min="3845" max="3845" width="4.7109375" style="1082" customWidth="1"/>
    <col min="3846" max="3846" width="4.28515625" style="1082" customWidth="1"/>
    <col min="3847" max="3847" width="5.140625" style="1082" customWidth="1"/>
    <col min="3848" max="3848" width="4.140625" style="1082" customWidth="1"/>
    <col min="3849" max="3849" width="3.85546875" style="1082" customWidth="1"/>
    <col min="3850" max="3851" width="5" style="1082" customWidth="1"/>
    <col min="3852" max="3852" width="5.140625" style="1082" customWidth="1"/>
    <col min="3853" max="3853" width="5.28515625" style="1082" customWidth="1"/>
    <col min="3854" max="3854" width="5.85546875" style="1082" customWidth="1"/>
    <col min="3855" max="3855" width="5.7109375" style="1082" customWidth="1"/>
    <col min="3856" max="3856" width="5.42578125" style="1082" customWidth="1"/>
    <col min="3857" max="3857" width="6.42578125" style="1082" customWidth="1"/>
    <col min="3858" max="3860" width="4.7109375" style="1082" customWidth="1"/>
    <col min="3861" max="3862" width="9.140625" style="1082"/>
    <col min="3863" max="3863" width="5.85546875" style="1082" customWidth="1"/>
    <col min="3864" max="4096" width="9.140625" style="1082"/>
    <col min="4097" max="4097" width="15.7109375" style="1082" customWidth="1"/>
    <col min="4098" max="4099" width="5.42578125" style="1082" customWidth="1"/>
    <col min="4100" max="4100" width="5" style="1082" customWidth="1"/>
    <col min="4101" max="4101" width="4.7109375" style="1082" customWidth="1"/>
    <col min="4102" max="4102" width="4.28515625" style="1082" customWidth="1"/>
    <col min="4103" max="4103" width="5.140625" style="1082" customWidth="1"/>
    <col min="4104" max="4104" width="4.140625" style="1082" customWidth="1"/>
    <col min="4105" max="4105" width="3.85546875" style="1082" customWidth="1"/>
    <col min="4106" max="4107" width="5" style="1082" customWidth="1"/>
    <col min="4108" max="4108" width="5.140625" style="1082" customWidth="1"/>
    <col min="4109" max="4109" width="5.28515625" style="1082" customWidth="1"/>
    <col min="4110" max="4110" width="5.85546875" style="1082" customWidth="1"/>
    <col min="4111" max="4111" width="5.7109375" style="1082" customWidth="1"/>
    <col min="4112" max="4112" width="5.42578125" style="1082" customWidth="1"/>
    <col min="4113" max="4113" width="6.42578125" style="1082" customWidth="1"/>
    <col min="4114" max="4116" width="4.7109375" style="1082" customWidth="1"/>
    <col min="4117" max="4118" width="9.140625" style="1082"/>
    <col min="4119" max="4119" width="5.85546875" style="1082" customWidth="1"/>
    <col min="4120" max="4352" width="9.140625" style="1082"/>
    <col min="4353" max="4353" width="15.7109375" style="1082" customWidth="1"/>
    <col min="4354" max="4355" width="5.42578125" style="1082" customWidth="1"/>
    <col min="4356" max="4356" width="5" style="1082" customWidth="1"/>
    <col min="4357" max="4357" width="4.7109375" style="1082" customWidth="1"/>
    <col min="4358" max="4358" width="4.28515625" style="1082" customWidth="1"/>
    <col min="4359" max="4359" width="5.140625" style="1082" customWidth="1"/>
    <col min="4360" max="4360" width="4.140625" style="1082" customWidth="1"/>
    <col min="4361" max="4361" width="3.85546875" style="1082" customWidth="1"/>
    <col min="4362" max="4363" width="5" style="1082" customWidth="1"/>
    <col min="4364" max="4364" width="5.140625" style="1082" customWidth="1"/>
    <col min="4365" max="4365" width="5.28515625" style="1082" customWidth="1"/>
    <col min="4366" max="4366" width="5.85546875" style="1082" customWidth="1"/>
    <col min="4367" max="4367" width="5.7109375" style="1082" customWidth="1"/>
    <col min="4368" max="4368" width="5.42578125" style="1082" customWidth="1"/>
    <col min="4369" max="4369" width="6.42578125" style="1082" customWidth="1"/>
    <col min="4370" max="4372" width="4.7109375" style="1082" customWidth="1"/>
    <col min="4373" max="4374" width="9.140625" style="1082"/>
    <col min="4375" max="4375" width="5.85546875" style="1082" customWidth="1"/>
    <col min="4376" max="4608" width="9.140625" style="1082"/>
    <col min="4609" max="4609" width="15.7109375" style="1082" customWidth="1"/>
    <col min="4610" max="4611" width="5.42578125" style="1082" customWidth="1"/>
    <col min="4612" max="4612" width="5" style="1082" customWidth="1"/>
    <col min="4613" max="4613" width="4.7109375" style="1082" customWidth="1"/>
    <col min="4614" max="4614" width="4.28515625" style="1082" customWidth="1"/>
    <col min="4615" max="4615" width="5.140625" style="1082" customWidth="1"/>
    <col min="4616" max="4616" width="4.140625" style="1082" customWidth="1"/>
    <col min="4617" max="4617" width="3.85546875" style="1082" customWidth="1"/>
    <col min="4618" max="4619" width="5" style="1082" customWidth="1"/>
    <col min="4620" max="4620" width="5.140625" style="1082" customWidth="1"/>
    <col min="4621" max="4621" width="5.28515625" style="1082" customWidth="1"/>
    <col min="4622" max="4622" width="5.85546875" style="1082" customWidth="1"/>
    <col min="4623" max="4623" width="5.7109375" style="1082" customWidth="1"/>
    <col min="4624" max="4624" width="5.42578125" style="1082" customWidth="1"/>
    <col min="4625" max="4625" width="6.42578125" style="1082" customWidth="1"/>
    <col min="4626" max="4628" width="4.7109375" style="1082" customWidth="1"/>
    <col min="4629" max="4630" width="9.140625" style="1082"/>
    <col min="4631" max="4631" width="5.85546875" style="1082" customWidth="1"/>
    <col min="4632" max="4864" width="9.140625" style="1082"/>
    <col min="4865" max="4865" width="15.7109375" style="1082" customWidth="1"/>
    <col min="4866" max="4867" width="5.42578125" style="1082" customWidth="1"/>
    <col min="4868" max="4868" width="5" style="1082" customWidth="1"/>
    <col min="4869" max="4869" width="4.7109375" style="1082" customWidth="1"/>
    <col min="4870" max="4870" width="4.28515625" style="1082" customWidth="1"/>
    <col min="4871" max="4871" width="5.140625" style="1082" customWidth="1"/>
    <col min="4872" max="4872" width="4.140625" style="1082" customWidth="1"/>
    <col min="4873" max="4873" width="3.85546875" style="1082" customWidth="1"/>
    <col min="4874" max="4875" width="5" style="1082" customWidth="1"/>
    <col min="4876" max="4876" width="5.140625" style="1082" customWidth="1"/>
    <col min="4877" max="4877" width="5.28515625" style="1082" customWidth="1"/>
    <col min="4878" max="4878" width="5.85546875" style="1082" customWidth="1"/>
    <col min="4879" max="4879" width="5.7109375" style="1082" customWidth="1"/>
    <col min="4880" max="4880" width="5.42578125" style="1082" customWidth="1"/>
    <col min="4881" max="4881" width="6.42578125" style="1082" customWidth="1"/>
    <col min="4882" max="4884" width="4.7109375" style="1082" customWidth="1"/>
    <col min="4885" max="4886" width="9.140625" style="1082"/>
    <col min="4887" max="4887" width="5.85546875" style="1082" customWidth="1"/>
    <col min="4888" max="5120" width="9.140625" style="1082"/>
    <col min="5121" max="5121" width="15.7109375" style="1082" customWidth="1"/>
    <col min="5122" max="5123" width="5.42578125" style="1082" customWidth="1"/>
    <col min="5124" max="5124" width="5" style="1082" customWidth="1"/>
    <col min="5125" max="5125" width="4.7109375" style="1082" customWidth="1"/>
    <col min="5126" max="5126" width="4.28515625" style="1082" customWidth="1"/>
    <col min="5127" max="5127" width="5.140625" style="1082" customWidth="1"/>
    <col min="5128" max="5128" width="4.140625" style="1082" customWidth="1"/>
    <col min="5129" max="5129" width="3.85546875" style="1082" customWidth="1"/>
    <col min="5130" max="5131" width="5" style="1082" customWidth="1"/>
    <col min="5132" max="5132" width="5.140625" style="1082" customWidth="1"/>
    <col min="5133" max="5133" width="5.28515625" style="1082" customWidth="1"/>
    <col min="5134" max="5134" width="5.85546875" style="1082" customWidth="1"/>
    <col min="5135" max="5135" width="5.7109375" style="1082" customWidth="1"/>
    <col min="5136" max="5136" width="5.42578125" style="1082" customWidth="1"/>
    <col min="5137" max="5137" width="6.42578125" style="1082" customWidth="1"/>
    <col min="5138" max="5140" width="4.7109375" style="1082" customWidth="1"/>
    <col min="5141" max="5142" width="9.140625" style="1082"/>
    <col min="5143" max="5143" width="5.85546875" style="1082" customWidth="1"/>
    <col min="5144" max="5376" width="9.140625" style="1082"/>
    <col min="5377" max="5377" width="15.7109375" style="1082" customWidth="1"/>
    <col min="5378" max="5379" width="5.42578125" style="1082" customWidth="1"/>
    <col min="5380" max="5380" width="5" style="1082" customWidth="1"/>
    <col min="5381" max="5381" width="4.7109375" style="1082" customWidth="1"/>
    <col min="5382" max="5382" width="4.28515625" style="1082" customWidth="1"/>
    <col min="5383" max="5383" width="5.140625" style="1082" customWidth="1"/>
    <col min="5384" max="5384" width="4.140625" style="1082" customWidth="1"/>
    <col min="5385" max="5385" width="3.85546875" style="1082" customWidth="1"/>
    <col min="5386" max="5387" width="5" style="1082" customWidth="1"/>
    <col min="5388" max="5388" width="5.140625" style="1082" customWidth="1"/>
    <col min="5389" max="5389" width="5.28515625" style="1082" customWidth="1"/>
    <col min="5390" max="5390" width="5.85546875" style="1082" customWidth="1"/>
    <col min="5391" max="5391" width="5.7109375" style="1082" customWidth="1"/>
    <col min="5392" max="5392" width="5.42578125" style="1082" customWidth="1"/>
    <col min="5393" max="5393" width="6.42578125" style="1082" customWidth="1"/>
    <col min="5394" max="5396" width="4.7109375" style="1082" customWidth="1"/>
    <col min="5397" max="5398" width="9.140625" style="1082"/>
    <col min="5399" max="5399" width="5.85546875" style="1082" customWidth="1"/>
    <col min="5400" max="5632" width="9.140625" style="1082"/>
    <col min="5633" max="5633" width="15.7109375" style="1082" customWidth="1"/>
    <col min="5634" max="5635" width="5.42578125" style="1082" customWidth="1"/>
    <col min="5636" max="5636" width="5" style="1082" customWidth="1"/>
    <col min="5637" max="5637" width="4.7109375" style="1082" customWidth="1"/>
    <col min="5638" max="5638" width="4.28515625" style="1082" customWidth="1"/>
    <col min="5639" max="5639" width="5.140625" style="1082" customWidth="1"/>
    <col min="5640" max="5640" width="4.140625" style="1082" customWidth="1"/>
    <col min="5641" max="5641" width="3.85546875" style="1082" customWidth="1"/>
    <col min="5642" max="5643" width="5" style="1082" customWidth="1"/>
    <col min="5644" max="5644" width="5.140625" style="1082" customWidth="1"/>
    <col min="5645" max="5645" width="5.28515625" style="1082" customWidth="1"/>
    <col min="5646" max="5646" width="5.85546875" style="1082" customWidth="1"/>
    <col min="5647" max="5647" width="5.7109375" style="1082" customWidth="1"/>
    <col min="5648" max="5648" width="5.42578125" style="1082" customWidth="1"/>
    <col min="5649" max="5649" width="6.42578125" style="1082" customWidth="1"/>
    <col min="5650" max="5652" width="4.7109375" style="1082" customWidth="1"/>
    <col min="5653" max="5654" width="9.140625" style="1082"/>
    <col min="5655" max="5655" width="5.85546875" style="1082" customWidth="1"/>
    <col min="5656" max="5888" width="9.140625" style="1082"/>
    <col min="5889" max="5889" width="15.7109375" style="1082" customWidth="1"/>
    <col min="5890" max="5891" width="5.42578125" style="1082" customWidth="1"/>
    <col min="5892" max="5892" width="5" style="1082" customWidth="1"/>
    <col min="5893" max="5893" width="4.7109375" style="1082" customWidth="1"/>
    <col min="5894" max="5894" width="4.28515625" style="1082" customWidth="1"/>
    <col min="5895" max="5895" width="5.140625" style="1082" customWidth="1"/>
    <col min="5896" max="5896" width="4.140625" style="1082" customWidth="1"/>
    <col min="5897" max="5897" width="3.85546875" style="1082" customWidth="1"/>
    <col min="5898" max="5899" width="5" style="1082" customWidth="1"/>
    <col min="5900" max="5900" width="5.140625" style="1082" customWidth="1"/>
    <col min="5901" max="5901" width="5.28515625" style="1082" customWidth="1"/>
    <col min="5902" max="5902" width="5.85546875" style="1082" customWidth="1"/>
    <col min="5903" max="5903" width="5.7109375" style="1082" customWidth="1"/>
    <col min="5904" max="5904" width="5.42578125" style="1082" customWidth="1"/>
    <col min="5905" max="5905" width="6.42578125" style="1082" customWidth="1"/>
    <col min="5906" max="5908" width="4.7109375" style="1082" customWidth="1"/>
    <col min="5909" max="5910" width="9.140625" style="1082"/>
    <col min="5911" max="5911" width="5.85546875" style="1082" customWidth="1"/>
    <col min="5912" max="6144" width="9.140625" style="1082"/>
    <col min="6145" max="6145" width="15.7109375" style="1082" customWidth="1"/>
    <col min="6146" max="6147" width="5.42578125" style="1082" customWidth="1"/>
    <col min="6148" max="6148" width="5" style="1082" customWidth="1"/>
    <col min="6149" max="6149" width="4.7109375" style="1082" customWidth="1"/>
    <col min="6150" max="6150" width="4.28515625" style="1082" customWidth="1"/>
    <col min="6151" max="6151" width="5.140625" style="1082" customWidth="1"/>
    <col min="6152" max="6152" width="4.140625" style="1082" customWidth="1"/>
    <col min="6153" max="6153" width="3.85546875" style="1082" customWidth="1"/>
    <col min="6154" max="6155" width="5" style="1082" customWidth="1"/>
    <col min="6156" max="6156" width="5.140625" style="1082" customWidth="1"/>
    <col min="6157" max="6157" width="5.28515625" style="1082" customWidth="1"/>
    <col min="6158" max="6158" width="5.85546875" style="1082" customWidth="1"/>
    <col min="6159" max="6159" width="5.7109375" style="1082" customWidth="1"/>
    <col min="6160" max="6160" width="5.42578125" style="1082" customWidth="1"/>
    <col min="6161" max="6161" width="6.42578125" style="1082" customWidth="1"/>
    <col min="6162" max="6164" width="4.7109375" style="1082" customWidth="1"/>
    <col min="6165" max="6166" width="9.140625" style="1082"/>
    <col min="6167" max="6167" width="5.85546875" style="1082" customWidth="1"/>
    <col min="6168" max="6400" width="9.140625" style="1082"/>
    <col min="6401" max="6401" width="15.7109375" style="1082" customWidth="1"/>
    <col min="6402" max="6403" width="5.42578125" style="1082" customWidth="1"/>
    <col min="6404" max="6404" width="5" style="1082" customWidth="1"/>
    <col min="6405" max="6405" width="4.7109375" style="1082" customWidth="1"/>
    <col min="6406" max="6406" width="4.28515625" style="1082" customWidth="1"/>
    <col min="6407" max="6407" width="5.140625" style="1082" customWidth="1"/>
    <col min="6408" max="6408" width="4.140625" style="1082" customWidth="1"/>
    <col min="6409" max="6409" width="3.85546875" style="1082" customWidth="1"/>
    <col min="6410" max="6411" width="5" style="1082" customWidth="1"/>
    <col min="6412" max="6412" width="5.140625" style="1082" customWidth="1"/>
    <col min="6413" max="6413" width="5.28515625" style="1082" customWidth="1"/>
    <col min="6414" max="6414" width="5.85546875" style="1082" customWidth="1"/>
    <col min="6415" max="6415" width="5.7109375" style="1082" customWidth="1"/>
    <col min="6416" max="6416" width="5.42578125" style="1082" customWidth="1"/>
    <col min="6417" max="6417" width="6.42578125" style="1082" customWidth="1"/>
    <col min="6418" max="6420" width="4.7109375" style="1082" customWidth="1"/>
    <col min="6421" max="6422" width="9.140625" style="1082"/>
    <col min="6423" max="6423" width="5.85546875" style="1082" customWidth="1"/>
    <col min="6424" max="6656" width="9.140625" style="1082"/>
    <col min="6657" max="6657" width="15.7109375" style="1082" customWidth="1"/>
    <col min="6658" max="6659" width="5.42578125" style="1082" customWidth="1"/>
    <col min="6660" max="6660" width="5" style="1082" customWidth="1"/>
    <col min="6661" max="6661" width="4.7109375" style="1082" customWidth="1"/>
    <col min="6662" max="6662" width="4.28515625" style="1082" customWidth="1"/>
    <col min="6663" max="6663" width="5.140625" style="1082" customWidth="1"/>
    <col min="6664" max="6664" width="4.140625" style="1082" customWidth="1"/>
    <col min="6665" max="6665" width="3.85546875" style="1082" customWidth="1"/>
    <col min="6666" max="6667" width="5" style="1082" customWidth="1"/>
    <col min="6668" max="6668" width="5.140625" style="1082" customWidth="1"/>
    <col min="6669" max="6669" width="5.28515625" style="1082" customWidth="1"/>
    <col min="6670" max="6670" width="5.85546875" style="1082" customWidth="1"/>
    <col min="6671" max="6671" width="5.7109375" style="1082" customWidth="1"/>
    <col min="6672" max="6672" width="5.42578125" style="1082" customWidth="1"/>
    <col min="6673" max="6673" width="6.42578125" style="1082" customWidth="1"/>
    <col min="6674" max="6676" width="4.7109375" style="1082" customWidth="1"/>
    <col min="6677" max="6678" width="9.140625" style="1082"/>
    <col min="6679" max="6679" width="5.85546875" style="1082" customWidth="1"/>
    <col min="6680" max="6912" width="9.140625" style="1082"/>
    <col min="6913" max="6913" width="15.7109375" style="1082" customWidth="1"/>
    <col min="6914" max="6915" width="5.42578125" style="1082" customWidth="1"/>
    <col min="6916" max="6916" width="5" style="1082" customWidth="1"/>
    <col min="6917" max="6917" width="4.7109375" style="1082" customWidth="1"/>
    <col min="6918" max="6918" width="4.28515625" style="1082" customWidth="1"/>
    <col min="6919" max="6919" width="5.140625" style="1082" customWidth="1"/>
    <col min="6920" max="6920" width="4.140625" style="1082" customWidth="1"/>
    <col min="6921" max="6921" width="3.85546875" style="1082" customWidth="1"/>
    <col min="6922" max="6923" width="5" style="1082" customWidth="1"/>
    <col min="6924" max="6924" width="5.140625" style="1082" customWidth="1"/>
    <col min="6925" max="6925" width="5.28515625" style="1082" customWidth="1"/>
    <col min="6926" max="6926" width="5.85546875" style="1082" customWidth="1"/>
    <col min="6927" max="6927" width="5.7109375" style="1082" customWidth="1"/>
    <col min="6928" max="6928" width="5.42578125" style="1082" customWidth="1"/>
    <col min="6929" max="6929" width="6.42578125" style="1082" customWidth="1"/>
    <col min="6930" max="6932" width="4.7109375" style="1082" customWidth="1"/>
    <col min="6933" max="6934" width="9.140625" style="1082"/>
    <col min="6935" max="6935" width="5.85546875" style="1082" customWidth="1"/>
    <col min="6936" max="7168" width="9.140625" style="1082"/>
    <col min="7169" max="7169" width="15.7109375" style="1082" customWidth="1"/>
    <col min="7170" max="7171" width="5.42578125" style="1082" customWidth="1"/>
    <col min="7172" max="7172" width="5" style="1082" customWidth="1"/>
    <col min="7173" max="7173" width="4.7109375" style="1082" customWidth="1"/>
    <col min="7174" max="7174" width="4.28515625" style="1082" customWidth="1"/>
    <col min="7175" max="7175" width="5.140625" style="1082" customWidth="1"/>
    <col min="7176" max="7176" width="4.140625" style="1082" customWidth="1"/>
    <col min="7177" max="7177" width="3.85546875" style="1082" customWidth="1"/>
    <col min="7178" max="7179" width="5" style="1082" customWidth="1"/>
    <col min="7180" max="7180" width="5.140625" style="1082" customWidth="1"/>
    <col min="7181" max="7181" width="5.28515625" style="1082" customWidth="1"/>
    <col min="7182" max="7182" width="5.85546875" style="1082" customWidth="1"/>
    <col min="7183" max="7183" width="5.7109375" style="1082" customWidth="1"/>
    <col min="7184" max="7184" width="5.42578125" style="1082" customWidth="1"/>
    <col min="7185" max="7185" width="6.42578125" style="1082" customWidth="1"/>
    <col min="7186" max="7188" width="4.7109375" style="1082" customWidth="1"/>
    <col min="7189" max="7190" width="9.140625" style="1082"/>
    <col min="7191" max="7191" width="5.85546875" style="1082" customWidth="1"/>
    <col min="7192" max="7424" width="9.140625" style="1082"/>
    <col min="7425" max="7425" width="15.7109375" style="1082" customWidth="1"/>
    <col min="7426" max="7427" width="5.42578125" style="1082" customWidth="1"/>
    <col min="7428" max="7428" width="5" style="1082" customWidth="1"/>
    <col min="7429" max="7429" width="4.7109375" style="1082" customWidth="1"/>
    <col min="7430" max="7430" width="4.28515625" style="1082" customWidth="1"/>
    <col min="7431" max="7431" width="5.140625" style="1082" customWidth="1"/>
    <col min="7432" max="7432" width="4.140625" style="1082" customWidth="1"/>
    <col min="7433" max="7433" width="3.85546875" style="1082" customWidth="1"/>
    <col min="7434" max="7435" width="5" style="1082" customWidth="1"/>
    <col min="7436" max="7436" width="5.140625" style="1082" customWidth="1"/>
    <col min="7437" max="7437" width="5.28515625" style="1082" customWidth="1"/>
    <col min="7438" max="7438" width="5.85546875" style="1082" customWidth="1"/>
    <col min="7439" max="7439" width="5.7109375" style="1082" customWidth="1"/>
    <col min="7440" max="7440" width="5.42578125" style="1082" customWidth="1"/>
    <col min="7441" max="7441" width="6.42578125" style="1082" customWidth="1"/>
    <col min="7442" max="7444" width="4.7109375" style="1082" customWidth="1"/>
    <col min="7445" max="7446" width="9.140625" style="1082"/>
    <col min="7447" max="7447" width="5.85546875" style="1082" customWidth="1"/>
    <col min="7448" max="7680" width="9.140625" style="1082"/>
    <col min="7681" max="7681" width="15.7109375" style="1082" customWidth="1"/>
    <col min="7682" max="7683" width="5.42578125" style="1082" customWidth="1"/>
    <col min="7684" max="7684" width="5" style="1082" customWidth="1"/>
    <col min="7685" max="7685" width="4.7109375" style="1082" customWidth="1"/>
    <col min="7686" max="7686" width="4.28515625" style="1082" customWidth="1"/>
    <col min="7687" max="7687" width="5.140625" style="1082" customWidth="1"/>
    <col min="7688" max="7688" width="4.140625" style="1082" customWidth="1"/>
    <col min="7689" max="7689" width="3.85546875" style="1082" customWidth="1"/>
    <col min="7690" max="7691" width="5" style="1082" customWidth="1"/>
    <col min="7692" max="7692" width="5.140625" style="1082" customWidth="1"/>
    <col min="7693" max="7693" width="5.28515625" style="1082" customWidth="1"/>
    <col min="7694" max="7694" width="5.85546875" style="1082" customWidth="1"/>
    <col min="7695" max="7695" width="5.7109375" style="1082" customWidth="1"/>
    <col min="7696" max="7696" width="5.42578125" style="1082" customWidth="1"/>
    <col min="7697" max="7697" width="6.42578125" style="1082" customWidth="1"/>
    <col min="7698" max="7700" width="4.7109375" style="1082" customWidth="1"/>
    <col min="7701" max="7702" width="9.140625" style="1082"/>
    <col min="7703" max="7703" width="5.85546875" style="1082" customWidth="1"/>
    <col min="7704" max="7936" width="9.140625" style="1082"/>
    <col min="7937" max="7937" width="15.7109375" style="1082" customWidth="1"/>
    <col min="7938" max="7939" width="5.42578125" style="1082" customWidth="1"/>
    <col min="7940" max="7940" width="5" style="1082" customWidth="1"/>
    <col min="7941" max="7941" width="4.7109375" style="1082" customWidth="1"/>
    <col min="7942" max="7942" width="4.28515625" style="1082" customWidth="1"/>
    <col min="7943" max="7943" width="5.140625" style="1082" customWidth="1"/>
    <col min="7944" max="7944" width="4.140625" style="1082" customWidth="1"/>
    <col min="7945" max="7945" width="3.85546875" style="1082" customWidth="1"/>
    <col min="7946" max="7947" width="5" style="1082" customWidth="1"/>
    <col min="7948" max="7948" width="5.140625" style="1082" customWidth="1"/>
    <col min="7949" max="7949" width="5.28515625" style="1082" customWidth="1"/>
    <col min="7950" max="7950" width="5.85546875" style="1082" customWidth="1"/>
    <col min="7951" max="7951" width="5.7109375" style="1082" customWidth="1"/>
    <col min="7952" max="7952" width="5.42578125" style="1082" customWidth="1"/>
    <col min="7953" max="7953" width="6.42578125" style="1082" customWidth="1"/>
    <col min="7954" max="7956" width="4.7109375" style="1082" customWidth="1"/>
    <col min="7957" max="7958" width="9.140625" style="1082"/>
    <col min="7959" max="7959" width="5.85546875" style="1082" customWidth="1"/>
    <col min="7960" max="8192" width="9.140625" style="1082"/>
    <col min="8193" max="8193" width="15.7109375" style="1082" customWidth="1"/>
    <col min="8194" max="8195" width="5.42578125" style="1082" customWidth="1"/>
    <col min="8196" max="8196" width="5" style="1082" customWidth="1"/>
    <col min="8197" max="8197" width="4.7109375" style="1082" customWidth="1"/>
    <col min="8198" max="8198" width="4.28515625" style="1082" customWidth="1"/>
    <col min="8199" max="8199" width="5.140625" style="1082" customWidth="1"/>
    <col min="8200" max="8200" width="4.140625" style="1082" customWidth="1"/>
    <col min="8201" max="8201" width="3.85546875" style="1082" customWidth="1"/>
    <col min="8202" max="8203" width="5" style="1082" customWidth="1"/>
    <col min="8204" max="8204" width="5.140625" style="1082" customWidth="1"/>
    <col min="8205" max="8205" width="5.28515625" style="1082" customWidth="1"/>
    <col min="8206" max="8206" width="5.85546875" style="1082" customWidth="1"/>
    <col min="8207" max="8207" width="5.7109375" style="1082" customWidth="1"/>
    <col min="8208" max="8208" width="5.42578125" style="1082" customWidth="1"/>
    <col min="8209" max="8209" width="6.42578125" style="1082" customWidth="1"/>
    <col min="8210" max="8212" width="4.7109375" style="1082" customWidth="1"/>
    <col min="8213" max="8214" width="9.140625" style="1082"/>
    <col min="8215" max="8215" width="5.85546875" style="1082" customWidth="1"/>
    <col min="8216" max="8448" width="9.140625" style="1082"/>
    <col min="8449" max="8449" width="15.7109375" style="1082" customWidth="1"/>
    <col min="8450" max="8451" width="5.42578125" style="1082" customWidth="1"/>
    <col min="8452" max="8452" width="5" style="1082" customWidth="1"/>
    <col min="8453" max="8453" width="4.7109375" style="1082" customWidth="1"/>
    <col min="8454" max="8454" width="4.28515625" style="1082" customWidth="1"/>
    <col min="8455" max="8455" width="5.140625" style="1082" customWidth="1"/>
    <col min="8456" max="8456" width="4.140625" style="1082" customWidth="1"/>
    <col min="8457" max="8457" width="3.85546875" style="1082" customWidth="1"/>
    <col min="8458" max="8459" width="5" style="1082" customWidth="1"/>
    <col min="8460" max="8460" width="5.140625" style="1082" customWidth="1"/>
    <col min="8461" max="8461" width="5.28515625" style="1082" customWidth="1"/>
    <col min="8462" max="8462" width="5.85546875" style="1082" customWidth="1"/>
    <col min="8463" max="8463" width="5.7109375" style="1082" customWidth="1"/>
    <col min="8464" max="8464" width="5.42578125" style="1082" customWidth="1"/>
    <col min="8465" max="8465" width="6.42578125" style="1082" customWidth="1"/>
    <col min="8466" max="8468" width="4.7109375" style="1082" customWidth="1"/>
    <col min="8469" max="8470" width="9.140625" style="1082"/>
    <col min="8471" max="8471" width="5.85546875" style="1082" customWidth="1"/>
    <col min="8472" max="8704" width="9.140625" style="1082"/>
    <col min="8705" max="8705" width="15.7109375" style="1082" customWidth="1"/>
    <col min="8706" max="8707" width="5.42578125" style="1082" customWidth="1"/>
    <col min="8708" max="8708" width="5" style="1082" customWidth="1"/>
    <col min="8709" max="8709" width="4.7109375" style="1082" customWidth="1"/>
    <col min="8710" max="8710" width="4.28515625" style="1082" customWidth="1"/>
    <col min="8711" max="8711" width="5.140625" style="1082" customWidth="1"/>
    <col min="8712" max="8712" width="4.140625" style="1082" customWidth="1"/>
    <col min="8713" max="8713" width="3.85546875" style="1082" customWidth="1"/>
    <col min="8714" max="8715" width="5" style="1082" customWidth="1"/>
    <col min="8716" max="8716" width="5.140625" style="1082" customWidth="1"/>
    <col min="8717" max="8717" width="5.28515625" style="1082" customWidth="1"/>
    <col min="8718" max="8718" width="5.85546875" style="1082" customWidth="1"/>
    <col min="8719" max="8719" width="5.7109375" style="1082" customWidth="1"/>
    <col min="8720" max="8720" width="5.42578125" style="1082" customWidth="1"/>
    <col min="8721" max="8721" width="6.42578125" style="1082" customWidth="1"/>
    <col min="8722" max="8724" width="4.7109375" style="1082" customWidth="1"/>
    <col min="8725" max="8726" width="9.140625" style="1082"/>
    <col min="8727" max="8727" width="5.85546875" style="1082" customWidth="1"/>
    <col min="8728" max="8960" width="9.140625" style="1082"/>
    <col min="8961" max="8961" width="15.7109375" style="1082" customWidth="1"/>
    <col min="8962" max="8963" width="5.42578125" style="1082" customWidth="1"/>
    <col min="8964" max="8964" width="5" style="1082" customWidth="1"/>
    <col min="8965" max="8965" width="4.7109375" style="1082" customWidth="1"/>
    <col min="8966" max="8966" width="4.28515625" style="1082" customWidth="1"/>
    <col min="8967" max="8967" width="5.140625" style="1082" customWidth="1"/>
    <col min="8968" max="8968" width="4.140625" style="1082" customWidth="1"/>
    <col min="8969" max="8969" width="3.85546875" style="1082" customWidth="1"/>
    <col min="8970" max="8971" width="5" style="1082" customWidth="1"/>
    <col min="8972" max="8972" width="5.140625" style="1082" customWidth="1"/>
    <col min="8973" max="8973" width="5.28515625" style="1082" customWidth="1"/>
    <col min="8974" max="8974" width="5.85546875" style="1082" customWidth="1"/>
    <col min="8975" max="8975" width="5.7109375" style="1082" customWidth="1"/>
    <col min="8976" max="8976" width="5.42578125" style="1082" customWidth="1"/>
    <col min="8977" max="8977" width="6.42578125" style="1082" customWidth="1"/>
    <col min="8978" max="8980" width="4.7109375" style="1082" customWidth="1"/>
    <col min="8981" max="8982" width="9.140625" style="1082"/>
    <col min="8983" max="8983" width="5.85546875" style="1082" customWidth="1"/>
    <col min="8984" max="9216" width="9.140625" style="1082"/>
    <col min="9217" max="9217" width="15.7109375" style="1082" customWidth="1"/>
    <col min="9218" max="9219" width="5.42578125" style="1082" customWidth="1"/>
    <col min="9220" max="9220" width="5" style="1082" customWidth="1"/>
    <col min="9221" max="9221" width="4.7109375" style="1082" customWidth="1"/>
    <col min="9222" max="9222" width="4.28515625" style="1082" customWidth="1"/>
    <col min="9223" max="9223" width="5.140625" style="1082" customWidth="1"/>
    <col min="9224" max="9224" width="4.140625" style="1082" customWidth="1"/>
    <col min="9225" max="9225" width="3.85546875" style="1082" customWidth="1"/>
    <col min="9226" max="9227" width="5" style="1082" customWidth="1"/>
    <col min="9228" max="9228" width="5.140625" style="1082" customWidth="1"/>
    <col min="9229" max="9229" width="5.28515625" style="1082" customWidth="1"/>
    <col min="9230" max="9230" width="5.85546875" style="1082" customWidth="1"/>
    <col min="9231" max="9231" width="5.7109375" style="1082" customWidth="1"/>
    <col min="9232" max="9232" width="5.42578125" style="1082" customWidth="1"/>
    <col min="9233" max="9233" width="6.42578125" style="1082" customWidth="1"/>
    <col min="9234" max="9236" width="4.7109375" style="1082" customWidth="1"/>
    <col min="9237" max="9238" width="9.140625" style="1082"/>
    <col min="9239" max="9239" width="5.85546875" style="1082" customWidth="1"/>
    <col min="9240" max="9472" width="9.140625" style="1082"/>
    <col min="9473" max="9473" width="15.7109375" style="1082" customWidth="1"/>
    <col min="9474" max="9475" width="5.42578125" style="1082" customWidth="1"/>
    <col min="9476" max="9476" width="5" style="1082" customWidth="1"/>
    <col min="9477" max="9477" width="4.7109375" style="1082" customWidth="1"/>
    <col min="9478" max="9478" width="4.28515625" style="1082" customWidth="1"/>
    <col min="9479" max="9479" width="5.140625" style="1082" customWidth="1"/>
    <col min="9480" max="9480" width="4.140625" style="1082" customWidth="1"/>
    <col min="9481" max="9481" width="3.85546875" style="1082" customWidth="1"/>
    <col min="9482" max="9483" width="5" style="1082" customWidth="1"/>
    <col min="9484" max="9484" width="5.140625" style="1082" customWidth="1"/>
    <col min="9485" max="9485" width="5.28515625" style="1082" customWidth="1"/>
    <col min="9486" max="9486" width="5.85546875" style="1082" customWidth="1"/>
    <col min="9487" max="9487" width="5.7109375" style="1082" customWidth="1"/>
    <col min="9488" max="9488" width="5.42578125" style="1082" customWidth="1"/>
    <col min="9489" max="9489" width="6.42578125" style="1082" customWidth="1"/>
    <col min="9490" max="9492" width="4.7109375" style="1082" customWidth="1"/>
    <col min="9493" max="9494" width="9.140625" style="1082"/>
    <col min="9495" max="9495" width="5.85546875" style="1082" customWidth="1"/>
    <col min="9496" max="9728" width="9.140625" style="1082"/>
    <col min="9729" max="9729" width="15.7109375" style="1082" customWidth="1"/>
    <col min="9730" max="9731" width="5.42578125" style="1082" customWidth="1"/>
    <col min="9732" max="9732" width="5" style="1082" customWidth="1"/>
    <col min="9733" max="9733" width="4.7109375" style="1082" customWidth="1"/>
    <col min="9734" max="9734" width="4.28515625" style="1082" customWidth="1"/>
    <col min="9735" max="9735" width="5.140625" style="1082" customWidth="1"/>
    <col min="9736" max="9736" width="4.140625" style="1082" customWidth="1"/>
    <col min="9737" max="9737" width="3.85546875" style="1082" customWidth="1"/>
    <col min="9738" max="9739" width="5" style="1082" customWidth="1"/>
    <col min="9740" max="9740" width="5.140625" style="1082" customWidth="1"/>
    <col min="9741" max="9741" width="5.28515625" style="1082" customWidth="1"/>
    <col min="9742" max="9742" width="5.85546875" style="1082" customWidth="1"/>
    <col min="9743" max="9743" width="5.7109375" style="1082" customWidth="1"/>
    <col min="9744" max="9744" width="5.42578125" style="1082" customWidth="1"/>
    <col min="9745" max="9745" width="6.42578125" style="1082" customWidth="1"/>
    <col min="9746" max="9748" width="4.7109375" style="1082" customWidth="1"/>
    <col min="9749" max="9750" width="9.140625" style="1082"/>
    <col min="9751" max="9751" width="5.85546875" style="1082" customWidth="1"/>
    <col min="9752" max="9984" width="9.140625" style="1082"/>
    <col min="9985" max="9985" width="15.7109375" style="1082" customWidth="1"/>
    <col min="9986" max="9987" width="5.42578125" style="1082" customWidth="1"/>
    <col min="9988" max="9988" width="5" style="1082" customWidth="1"/>
    <col min="9989" max="9989" width="4.7109375" style="1082" customWidth="1"/>
    <col min="9990" max="9990" width="4.28515625" style="1082" customWidth="1"/>
    <col min="9991" max="9991" width="5.140625" style="1082" customWidth="1"/>
    <col min="9992" max="9992" width="4.140625" style="1082" customWidth="1"/>
    <col min="9993" max="9993" width="3.85546875" style="1082" customWidth="1"/>
    <col min="9994" max="9995" width="5" style="1082" customWidth="1"/>
    <col min="9996" max="9996" width="5.140625" style="1082" customWidth="1"/>
    <col min="9997" max="9997" width="5.28515625" style="1082" customWidth="1"/>
    <col min="9998" max="9998" width="5.85546875" style="1082" customWidth="1"/>
    <col min="9999" max="9999" width="5.7109375" style="1082" customWidth="1"/>
    <col min="10000" max="10000" width="5.42578125" style="1082" customWidth="1"/>
    <col min="10001" max="10001" width="6.42578125" style="1082" customWidth="1"/>
    <col min="10002" max="10004" width="4.7109375" style="1082" customWidth="1"/>
    <col min="10005" max="10006" width="9.140625" style="1082"/>
    <col min="10007" max="10007" width="5.85546875" style="1082" customWidth="1"/>
    <col min="10008" max="10240" width="9.140625" style="1082"/>
    <col min="10241" max="10241" width="15.7109375" style="1082" customWidth="1"/>
    <col min="10242" max="10243" width="5.42578125" style="1082" customWidth="1"/>
    <col min="10244" max="10244" width="5" style="1082" customWidth="1"/>
    <col min="10245" max="10245" width="4.7109375" style="1082" customWidth="1"/>
    <col min="10246" max="10246" width="4.28515625" style="1082" customWidth="1"/>
    <col min="10247" max="10247" width="5.140625" style="1082" customWidth="1"/>
    <col min="10248" max="10248" width="4.140625" style="1082" customWidth="1"/>
    <col min="10249" max="10249" width="3.85546875" style="1082" customWidth="1"/>
    <col min="10250" max="10251" width="5" style="1082" customWidth="1"/>
    <col min="10252" max="10252" width="5.140625" style="1082" customWidth="1"/>
    <col min="10253" max="10253" width="5.28515625" style="1082" customWidth="1"/>
    <col min="10254" max="10254" width="5.85546875" style="1082" customWidth="1"/>
    <col min="10255" max="10255" width="5.7109375" style="1082" customWidth="1"/>
    <col min="10256" max="10256" width="5.42578125" style="1082" customWidth="1"/>
    <col min="10257" max="10257" width="6.42578125" style="1082" customWidth="1"/>
    <col min="10258" max="10260" width="4.7109375" style="1082" customWidth="1"/>
    <col min="10261" max="10262" width="9.140625" style="1082"/>
    <col min="10263" max="10263" width="5.85546875" style="1082" customWidth="1"/>
    <col min="10264" max="10496" width="9.140625" style="1082"/>
    <col min="10497" max="10497" width="15.7109375" style="1082" customWidth="1"/>
    <col min="10498" max="10499" width="5.42578125" style="1082" customWidth="1"/>
    <col min="10500" max="10500" width="5" style="1082" customWidth="1"/>
    <col min="10501" max="10501" width="4.7109375" style="1082" customWidth="1"/>
    <col min="10502" max="10502" width="4.28515625" style="1082" customWidth="1"/>
    <col min="10503" max="10503" width="5.140625" style="1082" customWidth="1"/>
    <col min="10504" max="10504" width="4.140625" style="1082" customWidth="1"/>
    <col min="10505" max="10505" width="3.85546875" style="1082" customWidth="1"/>
    <col min="10506" max="10507" width="5" style="1082" customWidth="1"/>
    <col min="10508" max="10508" width="5.140625" style="1082" customWidth="1"/>
    <col min="10509" max="10509" width="5.28515625" style="1082" customWidth="1"/>
    <col min="10510" max="10510" width="5.85546875" style="1082" customWidth="1"/>
    <col min="10511" max="10511" width="5.7109375" style="1082" customWidth="1"/>
    <col min="10512" max="10512" width="5.42578125" style="1082" customWidth="1"/>
    <col min="10513" max="10513" width="6.42578125" style="1082" customWidth="1"/>
    <col min="10514" max="10516" width="4.7109375" style="1082" customWidth="1"/>
    <col min="10517" max="10518" width="9.140625" style="1082"/>
    <col min="10519" max="10519" width="5.85546875" style="1082" customWidth="1"/>
    <col min="10520" max="10752" width="9.140625" style="1082"/>
    <col min="10753" max="10753" width="15.7109375" style="1082" customWidth="1"/>
    <col min="10754" max="10755" width="5.42578125" style="1082" customWidth="1"/>
    <col min="10756" max="10756" width="5" style="1082" customWidth="1"/>
    <col min="10757" max="10757" width="4.7109375" style="1082" customWidth="1"/>
    <col min="10758" max="10758" width="4.28515625" style="1082" customWidth="1"/>
    <col min="10759" max="10759" width="5.140625" style="1082" customWidth="1"/>
    <col min="10760" max="10760" width="4.140625" style="1082" customWidth="1"/>
    <col min="10761" max="10761" width="3.85546875" style="1082" customWidth="1"/>
    <col min="10762" max="10763" width="5" style="1082" customWidth="1"/>
    <col min="10764" max="10764" width="5.140625" style="1082" customWidth="1"/>
    <col min="10765" max="10765" width="5.28515625" style="1082" customWidth="1"/>
    <col min="10766" max="10766" width="5.85546875" style="1082" customWidth="1"/>
    <col min="10767" max="10767" width="5.7109375" style="1082" customWidth="1"/>
    <col min="10768" max="10768" width="5.42578125" style="1082" customWidth="1"/>
    <col min="10769" max="10769" width="6.42578125" style="1082" customWidth="1"/>
    <col min="10770" max="10772" width="4.7109375" style="1082" customWidth="1"/>
    <col min="10773" max="10774" width="9.140625" style="1082"/>
    <col min="10775" max="10775" width="5.85546875" style="1082" customWidth="1"/>
    <col min="10776" max="11008" width="9.140625" style="1082"/>
    <col min="11009" max="11009" width="15.7109375" style="1082" customWidth="1"/>
    <col min="11010" max="11011" width="5.42578125" style="1082" customWidth="1"/>
    <col min="11012" max="11012" width="5" style="1082" customWidth="1"/>
    <col min="11013" max="11013" width="4.7109375" style="1082" customWidth="1"/>
    <col min="11014" max="11014" width="4.28515625" style="1082" customWidth="1"/>
    <col min="11015" max="11015" width="5.140625" style="1082" customWidth="1"/>
    <col min="11016" max="11016" width="4.140625" style="1082" customWidth="1"/>
    <col min="11017" max="11017" width="3.85546875" style="1082" customWidth="1"/>
    <col min="11018" max="11019" width="5" style="1082" customWidth="1"/>
    <col min="11020" max="11020" width="5.140625" style="1082" customWidth="1"/>
    <col min="11021" max="11021" width="5.28515625" style="1082" customWidth="1"/>
    <col min="11022" max="11022" width="5.85546875" style="1082" customWidth="1"/>
    <col min="11023" max="11023" width="5.7109375" style="1082" customWidth="1"/>
    <col min="11024" max="11024" width="5.42578125" style="1082" customWidth="1"/>
    <col min="11025" max="11025" width="6.42578125" style="1082" customWidth="1"/>
    <col min="11026" max="11028" width="4.7109375" style="1082" customWidth="1"/>
    <col min="11029" max="11030" width="9.140625" style="1082"/>
    <col min="11031" max="11031" width="5.85546875" style="1082" customWidth="1"/>
    <col min="11032" max="11264" width="9.140625" style="1082"/>
    <col min="11265" max="11265" width="15.7109375" style="1082" customWidth="1"/>
    <col min="11266" max="11267" width="5.42578125" style="1082" customWidth="1"/>
    <col min="11268" max="11268" width="5" style="1082" customWidth="1"/>
    <col min="11269" max="11269" width="4.7109375" style="1082" customWidth="1"/>
    <col min="11270" max="11270" width="4.28515625" style="1082" customWidth="1"/>
    <col min="11271" max="11271" width="5.140625" style="1082" customWidth="1"/>
    <col min="11272" max="11272" width="4.140625" style="1082" customWidth="1"/>
    <col min="11273" max="11273" width="3.85546875" style="1082" customWidth="1"/>
    <col min="11274" max="11275" width="5" style="1082" customWidth="1"/>
    <col min="11276" max="11276" width="5.140625" style="1082" customWidth="1"/>
    <col min="11277" max="11277" width="5.28515625" style="1082" customWidth="1"/>
    <col min="11278" max="11278" width="5.85546875" style="1082" customWidth="1"/>
    <col min="11279" max="11279" width="5.7109375" style="1082" customWidth="1"/>
    <col min="11280" max="11280" width="5.42578125" style="1082" customWidth="1"/>
    <col min="11281" max="11281" width="6.42578125" style="1082" customWidth="1"/>
    <col min="11282" max="11284" width="4.7109375" style="1082" customWidth="1"/>
    <col min="11285" max="11286" width="9.140625" style="1082"/>
    <col min="11287" max="11287" width="5.85546875" style="1082" customWidth="1"/>
    <col min="11288" max="11520" width="9.140625" style="1082"/>
    <col min="11521" max="11521" width="15.7109375" style="1082" customWidth="1"/>
    <col min="11522" max="11523" width="5.42578125" style="1082" customWidth="1"/>
    <col min="11524" max="11524" width="5" style="1082" customWidth="1"/>
    <col min="11525" max="11525" width="4.7109375" style="1082" customWidth="1"/>
    <col min="11526" max="11526" width="4.28515625" style="1082" customWidth="1"/>
    <col min="11527" max="11527" width="5.140625" style="1082" customWidth="1"/>
    <col min="11528" max="11528" width="4.140625" style="1082" customWidth="1"/>
    <col min="11529" max="11529" width="3.85546875" style="1082" customWidth="1"/>
    <col min="11530" max="11531" width="5" style="1082" customWidth="1"/>
    <col min="11532" max="11532" width="5.140625" style="1082" customWidth="1"/>
    <col min="11533" max="11533" width="5.28515625" style="1082" customWidth="1"/>
    <col min="11534" max="11534" width="5.85546875" style="1082" customWidth="1"/>
    <col min="11535" max="11535" width="5.7109375" style="1082" customWidth="1"/>
    <col min="11536" max="11536" width="5.42578125" style="1082" customWidth="1"/>
    <col min="11537" max="11537" width="6.42578125" style="1082" customWidth="1"/>
    <col min="11538" max="11540" width="4.7109375" style="1082" customWidth="1"/>
    <col min="11541" max="11542" width="9.140625" style="1082"/>
    <col min="11543" max="11543" width="5.85546875" style="1082" customWidth="1"/>
    <col min="11544" max="11776" width="9.140625" style="1082"/>
    <col min="11777" max="11777" width="15.7109375" style="1082" customWidth="1"/>
    <col min="11778" max="11779" width="5.42578125" style="1082" customWidth="1"/>
    <col min="11780" max="11780" width="5" style="1082" customWidth="1"/>
    <col min="11781" max="11781" width="4.7109375" style="1082" customWidth="1"/>
    <col min="11782" max="11782" width="4.28515625" style="1082" customWidth="1"/>
    <col min="11783" max="11783" width="5.140625" style="1082" customWidth="1"/>
    <col min="11784" max="11784" width="4.140625" style="1082" customWidth="1"/>
    <col min="11785" max="11785" width="3.85546875" style="1082" customWidth="1"/>
    <col min="11786" max="11787" width="5" style="1082" customWidth="1"/>
    <col min="11788" max="11788" width="5.140625" style="1082" customWidth="1"/>
    <col min="11789" max="11789" width="5.28515625" style="1082" customWidth="1"/>
    <col min="11790" max="11790" width="5.85546875" style="1082" customWidth="1"/>
    <col min="11791" max="11791" width="5.7109375" style="1082" customWidth="1"/>
    <col min="11792" max="11792" width="5.42578125" style="1082" customWidth="1"/>
    <col min="11793" max="11793" width="6.42578125" style="1082" customWidth="1"/>
    <col min="11794" max="11796" width="4.7109375" style="1082" customWidth="1"/>
    <col min="11797" max="11798" width="9.140625" style="1082"/>
    <col min="11799" max="11799" width="5.85546875" style="1082" customWidth="1"/>
    <col min="11800" max="12032" width="9.140625" style="1082"/>
    <col min="12033" max="12033" width="15.7109375" style="1082" customWidth="1"/>
    <col min="12034" max="12035" width="5.42578125" style="1082" customWidth="1"/>
    <col min="12036" max="12036" width="5" style="1082" customWidth="1"/>
    <col min="12037" max="12037" width="4.7109375" style="1082" customWidth="1"/>
    <col min="12038" max="12038" width="4.28515625" style="1082" customWidth="1"/>
    <col min="12039" max="12039" width="5.140625" style="1082" customWidth="1"/>
    <col min="12040" max="12040" width="4.140625" style="1082" customWidth="1"/>
    <col min="12041" max="12041" width="3.85546875" style="1082" customWidth="1"/>
    <col min="12042" max="12043" width="5" style="1082" customWidth="1"/>
    <col min="12044" max="12044" width="5.140625" style="1082" customWidth="1"/>
    <col min="12045" max="12045" width="5.28515625" style="1082" customWidth="1"/>
    <col min="12046" max="12046" width="5.85546875" style="1082" customWidth="1"/>
    <col min="12047" max="12047" width="5.7109375" style="1082" customWidth="1"/>
    <col min="12048" max="12048" width="5.42578125" style="1082" customWidth="1"/>
    <col min="12049" max="12049" width="6.42578125" style="1082" customWidth="1"/>
    <col min="12050" max="12052" width="4.7109375" style="1082" customWidth="1"/>
    <col min="12053" max="12054" width="9.140625" style="1082"/>
    <col min="12055" max="12055" width="5.85546875" style="1082" customWidth="1"/>
    <col min="12056" max="12288" width="9.140625" style="1082"/>
    <col min="12289" max="12289" width="15.7109375" style="1082" customWidth="1"/>
    <col min="12290" max="12291" width="5.42578125" style="1082" customWidth="1"/>
    <col min="12292" max="12292" width="5" style="1082" customWidth="1"/>
    <col min="12293" max="12293" width="4.7109375" style="1082" customWidth="1"/>
    <col min="12294" max="12294" width="4.28515625" style="1082" customWidth="1"/>
    <col min="12295" max="12295" width="5.140625" style="1082" customWidth="1"/>
    <col min="12296" max="12296" width="4.140625" style="1082" customWidth="1"/>
    <col min="12297" max="12297" width="3.85546875" style="1082" customWidth="1"/>
    <col min="12298" max="12299" width="5" style="1082" customWidth="1"/>
    <col min="12300" max="12300" width="5.140625" style="1082" customWidth="1"/>
    <col min="12301" max="12301" width="5.28515625" style="1082" customWidth="1"/>
    <col min="12302" max="12302" width="5.85546875" style="1082" customWidth="1"/>
    <col min="12303" max="12303" width="5.7109375" style="1082" customWidth="1"/>
    <col min="12304" max="12304" width="5.42578125" style="1082" customWidth="1"/>
    <col min="12305" max="12305" width="6.42578125" style="1082" customWidth="1"/>
    <col min="12306" max="12308" width="4.7109375" style="1082" customWidth="1"/>
    <col min="12309" max="12310" width="9.140625" style="1082"/>
    <col min="12311" max="12311" width="5.85546875" style="1082" customWidth="1"/>
    <col min="12312" max="12544" width="9.140625" style="1082"/>
    <col min="12545" max="12545" width="15.7109375" style="1082" customWidth="1"/>
    <col min="12546" max="12547" width="5.42578125" style="1082" customWidth="1"/>
    <col min="12548" max="12548" width="5" style="1082" customWidth="1"/>
    <col min="12549" max="12549" width="4.7109375" style="1082" customWidth="1"/>
    <col min="12550" max="12550" width="4.28515625" style="1082" customWidth="1"/>
    <col min="12551" max="12551" width="5.140625" style="1082" customWidth="1"/>
    <col min="12552" max="12552" width="4.140625" style="1082" customWidth="1"/>
    <col min="12553" max="12553" width="3.85546875" style="1082" customWidth="1"/>
    <col min="12554" max="12555" width="5" style="1082" customWidth="1"/>
    <col min="12556" max="12556" width="5.140625" style="1082" customWidth="1"/>
    <col min="12557" max="12557" width="5.28515625" style="1082" customWidth="1"/>
    <col min="12558" max="12558" width="5.85546875" style="1082" customWidth="1"/>
    <col min="12559" max="12559" width="5.7109375" style="1082" customWidth="1"/>
    <col min="12560" max="12560" width="5.42578125" style="1082" customWidth="1"/>
    <col min="12561" max="12561" width="6.42578125" style="1082" customWidth="1"/>
    <col min="12562" max="12564" width="4.7109375" style="1082" customWidth="1"/>
    <col min="12565" max="12566" width="9.140625" style="1082"/>
    <col min="12567" max="12567" width="5.85546875" style="1082" customWidth="1"/>
    <col min="12568" max="12800" width="9.140625" style="1082"/>
    <col min="12801" max="12801" width="15.7109375" style="1082" customWidth="1"/>
    <col min="12802" max="12803" width="5.42578125" style="1082" customWidth="1"/>
    <col min="12804" max="12804" width="5" style="1082" customWidth="1"/>
    <col min="12805" max="12805" width="4.7109375" style="1082" customWidth="1"/>
    <col min="12806" max="12806" width="4.28515625" style="1082" customWidth="1"/>
    <col min="12807" max="12807" width="5.140625" style="1082" customWidth="1"/>
    <col min="12808" max="12808" width="4.140625" style="1082" customWidth="1"/>
    <col min="12809" max="12809" width="3.85546875" style="1082" customWidth="1"/>
    <col min="12810" max="12811" width="5" style="1082" customWidth="1"/>
    <col min="12812" max="12812" width="5.140625" style="1082" customWidth="1"/>
    <col min="12813" max="12813" width="5.28515625" style="1082" customWidth="1"/>
    <col min="12814" max="12814" width="5.85546875" style="1082" customWidth="1"/>
    <col min="12815" max="12815" width="5.7109375" style="1082" customWidth="1"/>
    <col min="12816" max="12816" width="5.42578125" style="1082" customWidth="1"/>
    <col min="12817" max="12817" width="6.42578125" style="1082" customWidth="1"/>
    <col min="12818" max="12820" width="4.7109375" style="1082" customWidth="1"/>
    <col min="12821" max="12822" width="9.140625" style="1082"/>
    <col min="12823" max="12823" width="5.85546875" style="1082" customWidth="1"/>
    <col min="12824" max="13056" width="9.140625" style="1082"/>
    <col min="13057" max="13057" width="15.7109375" style="1082" customWidth="1"/>
    <col min="13058" max="13059" width="5.42578125" style="1082" customWidth="1"/>
    <col min="13060" max="13060" width="5" style="1082" customWidth="1"/>
    <col min="13061" max="13061" width="4.7109375" style="1082" customWidth="1"/>
    <col min="13062" max="13062" width="4.28515625" style="1082" customWidth="1"/>
    <col min="13063" max="13063" width="5.140625" style="1082" customWidth="1"/>
    <col min="13064" max="13064" width="4.140625" style="1082" customWidth="1"/>
    <col min="13065" max="13065" width="3.85546875" style="1082" customWidth="1"/>
    <col min="13066" max="13067" width="5" style="1082" customWidth="1"/>
    <col min="13068" max="13068" width="5.140625" style="1082" customWidth="1"/>
    <col min="13069" max="13069" width="5.28515625" style="1082" customWidth="1"/>
    <col min="13070" max="13070" width="5.85546875" style="1082" customWidth="1"/>
    <col min="13071" max="13071" width="5.7109375" style="1082" customWidth="1"/>
    <col min="13072" max="13072" width="5.42578125" style="1082" customWidth="1"/>
    <col min="13073" max="13073" width="6.42578125" style="1082" customWidth="1"/>
    <col min="13074" max="13076" width="4.7109375" style="1082" customWidth="1"/>
    <col min="13077" max="13078" width="9.140625" style="1082"/>
    <col min="13079" max="13079" width="5.85546875" style="1082" customWidth="1"/>
    <col min="13080" max="13312" width="9.140625" style="1082"/>
    <col min="13313" max="13313" width="15.7109375" style="1082" customWidth="1"/>
    <col min="13314" max="13315" width="5.42578125" style="1082" customWidth="1"/>
    <col min="13316" max="13316" width="5" style="1082" customWidth="1"/>
    <col min="13317" max="13317" width="4.7109375" style="1082" customWidth="1"/>
    <col min="13318" max="13318" width="4.28515625" style="1082" customWidth="1"/>
    <col min="13319" max="13319" width="5.140625" style="1082" customWidth="1"/>
    <col min="13320" max="13320" width="4.140625" style="1082" customWidth="1"/>
    <col min="13321" max="13321" width="3.85546875" style="1082" customWidth="1"/>
    <col min="13322" max="13323" width="5" style="1082" customWidth="1"/>
    <col min="13324" max="13324" width="5.140625" style="1082" customWidth="1"/>
    <col min="13325" max="13325" width="5.28515625" style="1082" customWidth="1"/>
    <col min="13326" max="13326" width="5.85546875" style="1082" customWidth="1"/>
    <col min="13327" max="13327" width="5.7109375" style="1082" customWidth="1"/>
    <col min="13328" max="13328" width="5.42578125" style="1082" customWidth="1"/>
    <col min="13329" max="13329" width="6.42578125" style="1082" customWidth="1"/>
    <col min="13330" max="13332" width="4.7109375" style="1082" customWidth="1"/>
    <col min="13333" max="13334" width="9.140625" style="1082"/>
    <col min="13335" max="13335" width="5.85546875" style="1082" customWidth="1"/>
    <col min="13336" max="13568" width="9.140625" style="1082"/>
    <col min="13569" max="13569" width="15.7109375" style="1082" customWidth="1"/>
    <col min="13570" max="13571" width="5.42578125" style="1082" customWidth="1"/>
    <col min="13572" max="13572" width="5" style="1082" customWidth="1"/>
    <col min="13573" max="13573" width="4.7109375" style="1082" customWidth="1"/>
    <col min="13574" max="13574" width="4.28515625" style="1082" customWidth="1"/>
    <col min="13575" max="13575" width="5.140625" style="1082" customWidth="1"/>
    <col min="13576" max="13576" width="4.140625" style="1082" customWidth="1"/>
    <col min="13577" max="13577" width="3.85546875" style="1082" customWidth="1"/>
    <col min="13578" max="13579" width="5" style="1082" customWidth="1"/>
    <col min="13580" max="13580" width="5.140625" style="1082" customWidth="1"/>
    <col min="13581" max="13581" width="5.28515625" style="1082" customWidth="1"/>
    <col min="13582" max="13582" width="5.85546875" style="1082" customWidth="1"/>
    <col min="13583" max="13583" width="5.7109375" style="1082" customWidth="1"/>
    <col min="13584" max="13584" width="5.42578125" style="1082" customWidth="1"/>
    <col min="13585" max="13585" width="6.42578125" style="1082" customWidth="1"/>
    <col min="13586" max="13588" width="4.7109375" style="1082" customWidth="1"/>
    <col min="13589" max="13590" width="9.140625" style="1082"/>
    <col min="13591" max="13591" width="5.85546875" style="1082" customWidth="1"/>
    <col min="13592" max="13824" width="9.140625" style="1082"/>
    <col min="13825" max="13825" width="15.7109375" style="1082" customWidth="1"/>
    <col min="13826" max="13827" width="5.42578125" style="1082" customWidth="1"/>
    <col min="13828" max="13828" width="5" style="1082" customWidth="1"/>
    <col min="13829" max="13829" width="4.7109375" style="1082" customWidth="1"/>
    <col min="13830" max="13830" width="4.28515625" style="1082" customWidth="1"/>
    <col min="13831" max="13831" width="5.140625" style="1082" customWidth="1"/>
    <col min="13832" max="13832" width="4.140625" style="1082" customWidth="1"/>
    <col min="13833" max="13833" width="3.85546875" style="1082" customWidth="1"/>
    <col min="13834" max="13835" width="5" style="1082" customWidth="1"/>
    <col min="13836" max="13836" width="5.140625" style="1082" customWidth="1"/>
    <col min="13837" max="13837" width="5.28515625" style="1082" customWidth="1"/>
    <col min="13838" max="13838" width="5.85546875" style="1082" customWidth="1"/>
    <col min="13839" max="13839" width="5.7109375" style="1082" customWidth="1"/>
    <col min="13840" max="13840" width="5.42578125" style="1082" customWidth="1"/>
    <col min="13841" max="13841" width="6.42578125" style="1082" customWidth="1"/>
    <col min="13842" max="13844" width="4.7109375" style="1082" customWidth="1"/>
    <col min="13845" max="13846" width="9.140625" style="1082"/>
    <col min="13847" max="13847" width="5.85546875" style="1082" customWidth="1"/>
    <col min="13848" max="14080" width="9.140625" style="1082"/>
    <col min="14081" max="14081" width="15.7109375" style="1082" customWidth="1"/>
    <col min="14082" max="14083" width="5.42578125" style="1082" customWidth="1"/>
    <col min="14084" max="14084" width="5" style="1082" customWidth="1"/>
    <col min="14085" max="14085" width="4.7109375" style="1082" customWidth="1"/>
    <col min="14086" max="14086" width="4.28515625" style="1082" customWidth="1"/>
    <col min="14087" max="14087" width="5.140625" style="1082" customWidth="1"/>
    <col min="14088" max="14088" width="4.140625" style="1082" customWidth="1"/>
    <col min="14089" max="14089" width="3.85546875" style="1082" customWidth="1"/>
    <col min="14090" max="14091" width="5" style="1082" customWidth="1"/>
    <col min="14092" max="14092" width="5.140625" style="1082" customWidth="1"/>
    <col min="14093" max="14093" width="5.28515625" style="1082" customWidth="1"/>
    <col min="14094" max="14094" width="5.85546875" style="1082" customWidth="1"/>
    <col min="14095" max="14095" width="5.7109375" style="1082" customWidth="1"/>
    <col min="14096" max="14096" width="5.42578125" style="1082" customWidth="1"/>
    <col min="14097" max="14097" width="6.42578125" style="1082" customWidth="1"/>
    <col min="14098" max="14100" width="4.7109375" style="1082" customWidth="1"/>
    <col min="14101" max="14102" width="9.140625" style="1082"/>
    <col min="14103" max="14103" width="5.85546875" style="1082" customWidth="1"/>
    <col min="14104" max="14336" width="9.140625" style="1082"/>
    <col min="14337" max="14337" width="15.7109375" style="1082" customWidth="1"/>
    <col min="14338" max="14339" width="5.42578125" style="1082" customWidth="1"/>
    <col min="14340" max="14340" width="5" style="1082" customWidth="1"/>
    <col min="14341" max="14341" width="4.7109375" style="1082" customWidth="1"/>
    <col min="14342" max="14342" width="4.28515625" style="1082" customWidth="1"/>
    <col min="14343" max="14343" width="5.140625" style="1082" customWidth="1"/>
    <col min="14344" max="14344" width="4.140625" style="1082" customWidth="1"/>
    <col min="14345" max="14345" width="3.85546875" style="1082" customWidth="1"/>
    <col min="14346" max="14347" width="5" style="1082" customWidth="1"/>
    <col min="14348" max="14348" width="5.140625" style="1082" customWidth="1"/>
    <col min="14349" max="14349" width="5.28515625" style="1082" customWidth="1"/>
    <col min="14350" max="14350" width="5.85546875" style="1082" customWidth="1"/>
    <col min="14351" max="14351" width="5.7109375" style="1082" customWidth="1"/>
    <col min="14352" max="14352" width="5.42578125" style="1082" customWidth="1"/>
    <col min="14353" max="14353" width="6.42578125" style="1082" customWidth="1"/>
    <col min="14354" max="14356" width="4.7109375" style="1082" customWidth="1"/>
    <col min="14357" max="14358" width="9.140625" style="1082"/>
    <col min="14359" max="14359" width="5.85546875" style="1082" customWidth="1"/>
    <col min="14360" max="14592" width="9.140625" style="1082"/>
    <col min="14593" max="14593" width="15.7109375" style="1082" customWidth="1"/>
    <col min="14594" max="14595" width="5.42578125" style="1082" customWidth="1"/>
    <col min="14596" max="14596" width="5" style="1082" customWidth="1"/>
    <col min="14597" max="14597" width="4.7109375" style="1082" customWidth="1"/>
    <col min="14598" max="14598" width="4.28515625" style="1082" customWidth="1"/>
    <col min="14599" max="14599" width="5.140625" style="1082" customWidth="1"/>
    <col min="14600" max="14600" width="4.140625" style="1082" customWidth="1"/>
    <col min="14601" max="14601" width="3.85546875" style="1082" customWidth="1"/>
    <col min="14602" max="14603" width="5" style="1082" customWidth="1"/>
    <col min="14604" max="14604" width="5.140625" style="1082" customWidth="1"/>
    <col min="14605" max="14605" width="5.28515625" style="1082" customWidth="1"/>
    <col min="14606" max="14606" width="5.85546875" style="1082" customWidth="1"/>
    <col min="14607" max="14607" width="5.7109375" style="1082" customWidth="1"/>
    <col min="14608" max="14608" width="5.42578125" style="1082" customWidth="1"/>
    <col min="14609" max="14609" width="6.42578125" style="1082" customWidth="1"/>
    <col min="14610" max="14612" width="4.7109375" style="1082" customWidth="1"/>
    <col min="14613" max="14614" width="9.140625" style="1082"/>
    <col min="14615" max="14615" width="5.85546875" style="1082" customWidth="1"/>
    <col min="14616" max="14848" width="9.140625" style="1082"/>
    <col min="14849" max="14849" width="15.7109375" style="1082" customWidth="1"/>
    <col min="14850" max="14851" width="5.42578125" style="1082" customWidth="1"/>
    <col min="14852" max="14852" width="5" style="1082" customWidth="1"/>
    <col min="14853" max="14853" width="4.7109375" style="1082" customWidth="1"/>
    <col min="14854" max="14854" width="4.28515625" style="1082" customWidth="1"/>
    <col min="14855" max="14855" width="5.140625" style="1082" customWidth="1"/>
    <col min="14856" max="14856" width="4.140625" style="1082" customWidth="1"/>
    <col min="14857" max="14857" width="3.85546875" style="1082" customWidth="1"/>
    <col min="14858" max="14859" width="5" style="1082" customWidth="1"/>
    <col min="14860" max="14860" width="5.140625" style="1082" customWidth="1"/>
    <col min="14861" max="14861" width="5.28515625" style="1082" customWidth="1"/>
    <col min="14862" max="14862" width="5.85546875" style="1082" customWidth="1"/>
    <col min="14863" max="14863" width="5.7109375" style="1082" customWidth="1"/>
    <col min="14864" max="14864" width="5.42578125" style="1082" customWidth="1"/>
    <col min="14865" max="14865" width="6.42578125" style="1082" customWidth="1"/>
    <col min="14866" max="14868" width="4.7109375" style="1082" customWidth="1"/>
    <col min="14869" max="14870" width="9.140625" style="1082"/>
    <col min="14871" max="14871" width="5.85546875" style="1082" customWidth="1"/>
    <col min="14872" max="15104" width="9.140625" style="1082"/>
    <col min="15105" max="15105" width="15.7109375" style="1082" customWidth="1"/>
    <col min="15106" max="15107" width="5.42578125" style="1082" customWidth="1"/>
    <col min="15108" max="15108" width="5" style="1082" customWidth="1"/>
    <col min="15109" max="15109" width="4.7109375" style="1082" customWidth="1"/>
    <col min="15110" max="15110" width="4.28515625" style="1082" customWidth="1"/>
    <col min="15111" max="15111" width="5.140625" style="1082" customWidth="1"/>
    <col min="15112" max="15112" width="4.140625" style="1082" customWidth="1"/>
    <col min="15113" max="15113" width="3.85546875" style="1082" customWidth="1"/>
    <col min="15114" max="15115" width="5" style="1082" customWidth="1"/>
    <col min="15116" max="15116" width="5.140625" style="1082" customWidth="1"/>
    <col min="15117" max="15117" width="5.28515625" style="1082" customWidth="1"/>
    <col min="15118" max="15118" width="5.85546875" style="1082" customWidth="1"/>
    <col min="15119" max="15119" width="5.7109375" style="1082" customWidth="1"/>
    <col min="15120" max="15120" width="5.42578125" style="1082" customWidth="1"/>
    <col min="15121" max="15121" width="6.42578125" style="1082" customWidth="1"/>
    <col min="15122" max="15124" width="4.7109375" style="1082" customWidth="1"/>
    <col min="15125" max="15126" width="9.140625" style="1082"/>
    <col min="15127" max="15127" width="5.85546875" style="1082" customWidth="1"/>
    <col min="15128" max="15360" width="9.140625" style="1082"/>
    <col min="15361" max="15361" width="15.7109375" style="1082" customWidth="1"/>
    <col min="15362" max="15363" width="5.42578125" style="1082" customWidth="1"/>
    <col min="15364" max="15364" width="5" style="1082" customWidth="1"/>
    <col min="15365" max="15365" width="4.7109375" style="1082" customWidth="1"/>
    <col min="15366" max="15366" width="4.28515625" style="1082" customWidth="1"/>
    <col min="15367" max="15367" width="5.140625" style="1082" customWidth="1"/>
    <col min="15368" max="15368" width="4.140625" style="1082" customWidth="1"/>
    <col min="15369" max="15369" width="3.85546875" style="1082" customWidth="1"/>
    <col min="15370" max="15371" width="5" style="1082" customWidth="1"/>
    <col min="15372" max="15372" width="5.140625" style="1082" customWidth="1"/>
    <col min="15373" max="15373" width="5.28515625" style="1082" customWidth="1"/>
    <col min="15374" max="15374" width="5.85546875" style="1082" customWidth="1"/>
    <col min="15375" max="15375" width="5.7109375" style="1082" customWidth="1"/>
    <col min="15376" max="15376" width="5.42578125" style="1082" customWidth="1"/>
    <col min="15377" max="15377" width="6.42578125" style="1082" customWidth="1"/>
    <col min="15378" max="15380" width="4.7109375" style="1082" customWidth="1"/>
    <col min="15381" max="15382" width="9.140625" style="1082"/>
    <col min="15383" max="15383" width="5.85546875" style="1082" customWidth="1"/>
    <col min="15384" max="15616" width="9.140625" style="1082"/>
    <col min="15617" max="15617" width="15.7109375" style="1082" customWidth="1"/>
    <col min="15618" max="15619" width="5.42578125" style="1082" customWidth="1"/>
    <col min="15620" max="15620" width="5" style="1082" customWidth="1"/>
    <col min="15621" max="15621" width="4.7109375" style="1082" customWidth="1"/>
    <col min="15622" max="15622" width="4.28515625" style="1082" customWidth="1"/>
    <col min="15623" max="15623" width="5.140625" style="1082" customWidth="1"/>
    <col min="15624" max="15624" width="4.140625" style="1082" customWidth="1"/>
    <col min="15625" max="15625" width="3.85546875" style="1082" customWidth="1"/>
    <col min="15626" max="15627" width="5" style="1082" customWidth="1"/>
    <col min="15628" max="15628" width="5.140625" style="1082" customWidth="1"/>
    <col min="15629" max="15629" width="5.28515625" style="1082" customWidth="1"/>
    <col min="15630" max="15630" width="5.85546875" style="1082" customWidth="1"/>
    <col min="15631" max="15631" width="5.7109375" style="1082" customWidth="1"/>
    <col min="15632" max="15632" width="5.42578125" style="1082" customWidth="1"/>
    <col min="15633" max="15633" width="6.42578125" style="1082" customWidth="1"/>
    <col min="15634" max="15636" width="4.7109375" style="1082" customWidth="1"/>
    <col min="15637" max="15638" width="9.140625" style="1082"/>
    <col min="15639" max="15639" width="5.85546875" style="1082" customWidth="1"/>
    <col min="15640" max="15872" width="9.140625" style="1082"/>
    <col min="15873" max="15873" width="15.7109375" style="1082" customWidth="1"/>
    <col min="15874" max="15875" width="5.42578125" style="1082" customWidth="1"/>
    <col min="15876" max="15876" width="5" style="1082" customWidth="1"/>
    <col min="15877" max="15877" width="4.7109375" style="1082" customWidth="1"/>
    <col min="15878" max="15878" width="4.28515625" style="1082" customWidth="1"/>
    <col min="15879" max="15879" width="5.140625" style="1082" customWidth="1"/>
    <col min="15880" max="15880" width="4.140625" style="1082" customWidth="1"/>
    <col min="15881" max="15881" width="3.85546875" style="1082" customWidth="1"/>
    <col min="15882" max="15883" width="5" style="1082" customWidth="1"/>
    <col min="15884" max="15884" width="5.140625" style="1082" customWidth="1"/>
    <col min="15885" max="15885" width="5.28515625" style="1082" customWidth="1"/>
    <col min="15886" max="15886" width="5.85546875" style="1082" customWidth="1"/>
    <col min="15887" max="15887" width="5.7109375" style="1082" customWidth="1"/>
    <col min="15888" max="15888" width="5.42578125" style="1082" customWidth="1"/>
    <col min="15889" max="15889" width="6.42578125" style="1082" customWidth="1"/>
    <col min="15890" max="15892" width="4.7109375" style="1082" customWidth="1"/>
    <col min="15893" max="15894" width="9.140625" style="1082"/>
    <col min="15895" max="15895" width="5.85546875" style="1082" customWidth="1"/>
    <col min="15896" max="16128" width="9.140625" style="1082"/>
    <col min="16129" max="16129" width="15.7109375" style="1082" customWidth="1"/>
    <col min="16130" max="16131" width="5.42578125" style="1082" customWidth="1"/>
    <col min="16132" max="16132" width="5" style="1082" customWidth="1"/>
    <col min="16133" max="16133" width="4.7109375" style="1082" customWidth="1"/>
    <col min="16134" max="16134" width="4.28515625" style="1082" customWidth="1"/>
    <col min="16135" max="16135" width="5.140625" style="1082" customWidth="1"/>
    <col min="16136" max="16136" width="4.140625" style="1082" customWidth="1"/>
    <col min="16137" max="16137" width="3.85546875" style="1082" customWidth="1"/>
    <col min="16138" max="16139" width="5" style="1082" customWidth="1"/>
    <col min="16140" max="16140" width="5.140625" style="1082" customWidth="1"/>
    <col min="16141" max="16141" width="5.28515625" style="1082" customWidth="1"/>
    <col min="16142" max="16142" width="5.85546875" style="1082" customWidth="1"/>
    <col min="16143" max="16143" width="5.7109375" style="1082" customWidth="1"/>
    <col min="16144" max="16144" width="5.42578125" style="1082" customWidth="1"/>
    <col min="16145" max="16145" width="6.42578125" style="1082" customWidth="1"/>
    <col min="16146" max="16148" width="4.7109375" style="1082" customWidth="1"/>
    <col min="16149" max="16150" width="9.140625" style="1082"/>
    <col min="16151" max="16151" width="5.85546875" style="1082" customWidth="1"/>
    <col min="16152" max="16384" width="9.140625" style="1082"/>
  </cols>
  <sheetData>
    <row r="1" spans="1:22" ht="14.25">
      <c r="K1" s="1083" t="s">
        <v>1427</v>
      </c>
    </row>
    <row r="2" spans="1:22">
      <c r="F2" s="1084" t="s">
        <v>1250</v>
      </c>
    </row>
    <row r="3" spans="1:22" ht="107.25" customHeight="1">
      <c r="A3" s="1085" t="s">
        <v>1251</v>
      </c>
      <c r="B3" s="1085" t="s">
        <v>1252</v>
      </c>
      <c r="C3" s="1085" t="s">
        <v>1253</v>
      </c>
      <c r="D3" s="1085" t="s">
        <v>1254</v>
      </c>
      <c r="E3" s="1085" t="s">
        <v>1255</v>
      </c>
      <c r="F3" s="1085" t="s">
        <v>1256</v>
      </c>
      <c r="G3" s="1085" t="s">
        <v>1257</v>
      </c>
      <c r="H3" s="1085" t="s">
        <v>1258</v>
      </c>
      <c r="I3" s="1085" t="s">
        <v>1259</v>
      </c>
      <c r="J3" s="1085" t="s">
        <v>1260</v>
      </c>
      <c r="K3" s="1085" t="s">
        <v>1261</v>
      </c>
      <c r="L3" s="1085" t="s">
        <v>1262</v>
      </c>
      <c r="M3" s="1085" t="s">
        <v>1263</v>
      </c>
      <c r="N3" s="1085" t="s">
        <v>1264</v>
      </c>
      <c r="O3" s="1085" t="s">
        <v>1265</v>
      </c>
      <c r="P3" s="1085" t="s">
        <v>1266</v>
      </c>
      <c r="Q3" s="1085" t="s">
        <v>1267</v>
      </c>
      <c r="R3" s="1085" t="s">
        <v>1268</v>
      </c>
      <c r="S3" s="1085" t="s">
        <v>1269</v>
      </c>
      <c r="T3" s="1086"/>
      <c r="U3" s="1085"/>
      <c r="V3" s="1086">
        <v>1</v>
      </c>
    </row>
    <row r="4" spans="1:22">
      <c r="A4" s="1086" t="s">
        <v>1270</v>
      </c>
      <c r="B4" s="1086" t="s">
        <v>1271</v>
      </c>
      <c r="C4" s="1086" t="s">
        <v>1272</v>
      </c>
      <c r="D4" s="1086" t="s">
        <v>1273</v>
      </c>
      <c r="E4" s="1086" t="s">
        <v>1274</v>
      </c>
      <c r="F4" s="1086" t="s">
        <v>1275</v>
      </c>
      <c r="G4" s="1086" t="s">
        <v>1276</v>
      </c>
      <c r="H4" s="1086" t="s">
        <v>1277</v>
      </c>
      <c r="I4" s="1086" t="s">
        <v>1278</v>
      </c>
      <c r="J4" s="1086" t="s">
        <v>1279</v>
      </c>
      <c r="K4" s="1086" t="s">
        <v>1280</v>
      </c>
      <c r="L4" s="1086" t="s">
        <v>1281</v>
      </c>
      <c r="M4" s="1086" t="s">
        <v>1282</v>
      </c>
      <c r="N4" s="1086" t="s">
        <v>1283</v>
      </c>
      <c r="O4" s="1086" t="s">
        <v>1284</v>
      </c>
      <c r="P4" s="1086" t="s">
        <v>1285</v>
      </c>
      <c r="Q4" s="1086" t="s">
        <v>1286</v>
      </c>
      <c r="R4" s="1086" t="s">
        <v>1287</v>
      </c>
      <c r="S4" s="1086" t="s">
        <v>1288</v>
      </c>
      <c r="T4" s="1086" t="s">
        <v>1289</v>
      </c>
      <c r="U4" s="1086" t="s">
        <v>1290</v>
      </c>
      <c r="V4" s="1086">
        <v>2</v>
      </c>
    </row>
    <row r="5" spans="1:22">
      <c r="A5" s="1086" t="s">
        <v>1420</v>
      </c>
      <c r="B5" s="1087">
        <v>17</v>
      </c>
      <c r="C5" s="1086">
        <v>2.2000000000000002</v>
      </c>
      <c r="D5" s="1086">
        <v>10</v>
      </c>
      <c r="E5" s="1086">
        <v>5</v>
      </c>
      <c r="F5" s="1086">
        <v>5</v>
      </c>
      <c r="G5" s="1086">
        <v>20</v>
      </c>
      <c r="H5" s="1086">
        <v>10</v>
      </c>
      <c r="I5" s="1086">
        <v>48</v>
      </c>
      <c r="J5" s="1086">
        <v>14</v>
      </c>
      <c r="K5" s="1086"/>
      <c r="L5" s="1086">
        <v>6</v>
      </c>
      <c r="M5" s="1086">
        <f t="shared" ref="M5:M11" si="0">(0.01*B5*I5*(1+0.01*SUM(E5))+0.01*B5*J5*(1+0.01*(SUM(E5)+F5))+0.01*B5*K5*(1+0.01*(SUM(E5)+G5))+0.01*B5*L5*(1+0.01*(SUM(E5)+H5)))*20*7</f>
        <v>1730.2600000000002</v>
      </c>
      <c r="N5" s="1086">
        <f t="shared" ref="N5:N11" si="1">(0.01*B5*I5*(1+0.01*SUM(D5:E5))+0.01*B5*J5*(1+0.01*(SUM(D5:E5)+F5))+0.01*B5*K5*(1+0.01*(SUM(D5:E5)+G5))+0.01*B5*L5*(1+0.01*(SUM(D5:E5)+H5)))*20*5</f>
        <v>1351.4999999999998</v>
      </c>
      <c r="O5" s="1086">
        <f t="shared" ref="O5:O11" si="2">SUM(M5:N5)</f>
        <v>3081.76</v>
      </c>
      <c r="P5" s="1086">
        <v>15.5</v>
      </c>
      <c r="Q5" s="1086">
        <v>5</v>
      </c>
      <c r="R5" s="1086">
        <f t="shared" ref="R5:R11" si="3">C5*O5/100</f>
        <v>67.798720000000017</v>
      </c>
      <c r="S5" s="1086">
        <v>10</v>
      </c>
      <c r="T5" s="1086"/>
      <c r="U5" s="1086"/>
      <c r="V5" s="1086">
        <v>3</v>
      </c>
    </row>
    <row r="6" spans="1:22">
      <c r="A6" s="1086" t="s">
        <v>1421</v>
      </c>
      <c r="B6" s="1087">
        <v>16</v>
      </c>
      <c r="C6" s="1086">
        <v>2.2000000000000002</v>
      </c>
      <c r="D6" s="1086">
        <v>10</v>
      </c>
      <c r="E6" s="1086">
        <v>5</v>
      </c>
      <c r="F6" s="1086">
        <v>5</v>
      </c>
      <c r="G6" s="1086">
        <v>20</v>
      </c>
      <c r="H6" s="1086">
        <v>10</v>
      </c>
      <c r="I6" s="1086">
        <v>40</v>
      </c>
      <c r="J6" s="1086">
        <v>12</v>
      </c>
      <c r="K6" s="1086"/>
      <c r="L6" s="1086">
        <v>9.5</v>
      </c>
      <c r="M6" s="1086">
        <f t="shared" si="0"/>
        <v>1481.2</v>
      </c>
      <c r="N6" s="1086">
        <f t="shared" si="1"/>
        <v>1156.4000000000001</v>
      </c>
      <c r="O6" s="1086">
        <f t="shared" si="2"/>
        <v>2637.6000000000004</v>
      </c>
      <c r="P6" s="1086">
        <v>15.5</v>
      </c>
      <c r="Q6" s="1086">
        <v>5</v>
      </c>
      <c r="R6" s="1086">
        <f t="shared" si="3"/>
        <v>58.027200000000015</v>
      </c>
      <c r="S6" s="1086">
        <v>10</v>
      </c>
      <c r="T6" s="1086"/>
      <c r="U6" s="1086"/>
      <c r="V6" s="1086">
        <v>4</v>
      </c>
    </row>
    <row r="7" spans="1:22">
      <c r="A7" s="1086" t="s">
        <v>1422</v>
      </c>
      <c r="B7" s="1087">
        <v>17</v>
      </c>
      <c r="C7" s="1086">
        <v>2.2000000000000002</v>
      </c>
      <c r="D7" s="1086">
        <v>10</v>
      </c>
      <c r="E7" s="1086">
        <v>5</v>
      </c>
      <c r="F7" s="1086">
        <v>5</v>
      </c>
      <c r="G7" s="1086">
        <v>20</v>
      </c>
      <c r="H7" s="1086">
        <v>10</v>
      </c>
      <c r="I7" s="1086">
        <v>42</v>
      </c>
      <c r="J7" s="1086">
        <v>10.5</v>
      </c>
      <c r="K7" s="1086"/>
      <c r="L7" s="1086">
        <v>6</v>
      </c>
      <c r="M7" s="1086">
        <f t="shared" si="0"/>
        <v>1488.69</v>
      </c>
      <c r="N7" s="1086">
        <f t="shared" si="1"/>
        <v>1162.8</v>
      </c>
      <c r="O7" s="1086">
        <f t="shared" si="2"/>
        <v>2651.49</v>
      </c>
      <c r="P7" s="1086">
        <v>15.5</v>
      </c>
      <c r="Q7" s="1086">
        <v>5</v>
      </c>
      <c r="R7" s="1086">
        <f t="shared" si="3"/>
        <v>58.33278</v>
      </c>
      <c r="S7" s="1086">
        <v>10</v>
      </c>
      <c r="T7" s="1086"/>
      <c r="U7" s="1086"/>
      <c r="V7" s="1086">
        <v>5</v>
      </c>
    </row>
    <row r="8" spans="1:22">
      <c r="A8" s="1086" t="s">
        <v>1423</v>
      </c>
      <c r="B8" s="1087">
        <v>13.5</v>
      </c>
      <c r="C8" s="1086">
        <v>2.2000000000000002</v>
      </c>
      <c r="D8" s="1086">
        <v>10</v>
      </c>
      <c r="E8" s="1086">
        <v>5</v>
      </c>
      <c r="F8" s="1086">
        <v>5</v>
      </c>
      <c r="G8" s="1086">
        <v>20</v>
      </c>
      <c r="H8" s="1086">
        <v>10</v>
      </c>
      <c r="I8" s="1086">
        <v>140</v>
      </c>
      <c r="J8" s="1086">
        <v>78</v>
      </c>
      <c r="K8" s="1086"/>
      <c r="L8" s="1086">
        <v>1</v>
      </c>
      <c r="M8" s="1086">
        <f t="shared" si="0"/>
        <v>4421.6550000000007</v>
      </c>
      <c r="N8" s="1086">
        <f t="shared" si="1"/>
        <v>3453.9750000000004</v>
      </c>
      <c r="O8" s="1086">
        <f t="shared" si="2"/>
        <v>7875.630000000001</v>
      </c>
      <c r="P8" s="1086">
        <v>15.5</v>
      </c>
      <c r="Q8" s="1086">
        <v>5</v>
      </c>
      <c r="R8" s="1086">
        <f t="shared" si="3"/>
        <v>173.26386000000002</v>
      </c>
      <c r="S8" s="1086">
        <v>10</v>
      </c>
      <c r="T8" s="1086"/>
      <c r="U8" s="1086"/>
      <c r="V8" s="1086">
        <v>6</v>
      </c>
    </row>
    <row r="9" spans="1:22">
      <c r="A9" s="1086" t="s">
        <v>1424</v>
      </c>
      <c r="B9" s="1087">
        <v>17</v>
      </c>
      <c r="C9" s="1086">
        <v>2.2000000000000002</v>
      </c>
      <c r="D9" s="1086">
        <v>10</v>
      </c>
      <c r="E9" s="1086">
        <v>5</v>
      </c>
      <c r="F9" s="1086">
        <v>5</v>
      </c>
      <c r="G9" s="1086">
        <v>20</v>
      </c>
      <c r="H9" s="1086">
        <v>10</v>
      </c>
      <c r="I9" s="1086">
        <v>12</v>
      </c>
      <c r="J9" s="1086">
        <v>1.5</v>
      </c>
      <c r="K9" s="1086"/>
      <c r="L9" s="1086">
        <v>4</v>
      </c>
      <c r="M9" s="1086">
        <f t="shared" si="0"/>
        <v>448.63</v>
      </c>
      <c r="N9" s="1086">
        <f t="shared" si="1"/>
        <v>350.19999999999993</v>
      </c>
      <c r="O9" s="1086">
        <f t="shared" si="2"/>
        <v>798.82999999999993</v>
      </c>
      <c r="P9" s="1086">
        <v>15.5</v>
      </c>
      <c r="Q9" s="1086">
        <v>5</v>
      </c>
      <c r="R9" s="1086">
        <f t="shared" si="3"/>
        <v>17.574259999999999</v>
      </c>
      <c r="S9" s="1086">
        <v>10</v>
      </c>
      <c r="T9" s="1086"/>
      <c r="U9" s="1086"/>
      <c r="V9" s="1086">
        <v>7</v>
      </c>
    </row>
    <row r="10" spans="1:22">
      <c r="A10" s="1086" t="s">
        <v>1425</v>
      </c>
      <c r="B10" s="1087">
        <v>14</v>
      </c>
      <c r="C10" s="1086">
        <v>2.2000000000000002</v>
      </c>
      <c r="D10" s="1086">
        <v>10</v>
      </c>
      <c r="E10" s="1086">
        <v>5</v>
      </c>
      <c r="F10" s="1086">
        <v>5</v>
      </c>
      <c r="G10" s="1086">
        <v>20</v>
      </c>
      <c r="H10" s="1086">
        <v>10</v>
      </c>
      <c r="I10" s="1086">
        <v>77</v>
      </c>
      <c r="J10" s="1086">
        <v>23</v>
      </c>
      <c r="K10" s="1086"/>
      <c r="L10" s="1086">
        <v>19</v>
      </c>
      <c r="M10" s="1086">
        <f t="shared" si="0"/>
        <v>2508.8000000000002</v>
      </c>
      <c r="N10" s="1086">
        <f t="shared" si="1"/>
        <v>1958.6</v>
      </c>
      <c r="O10" s="1086">
        <f t="shared" si="2"/>
        <v>4467.3999999999996</v>
      </c>
      <c r="P10" s="1086">
        <v>15.5</v>
      </c>
      <c r="Q10" s="1086">
        <v>5</v>
      </c>
      <c r="R10" s="1086">
        <f t="shared" si="3"/>
        <v>98.282800000000009</v>
      </c>
      <c r="S10" s="1086">
        <v>10</v>
      </c>
      <c r="T10" s="1086"/>
      <c r="U10" s="1086"/>
      <c r="V10" s="1086">
        <v>8</v>
      </c>
    </row>
    <row r="11" spans="1:22">
      <c r="A11" s="1086" t="s">
        <v>1426</v>
      </c>
      <c r="B11" s="1087">
        <v>18</v>
      </c>
      <c r="C11" s="1086">
        <v>2.2000000000000002</v>
      </c>
      <c r="D11" s="1086">
        <v>10</v>
      </c>
      <c r="E11" s="1086">
        <v>5</v>
      </c>
      <c r="F11" s="1086">
        <v>5</v>
      </c>
      <c r="G11" s="1086">
        <v>20</v>
      </c>
      <c r="H11" s="1086">
        <v>10</v>
      </c>
      <c r="I11" s="1086">
        <v>57</v>
      </c>
      <c r="J11" s="1086">
        <v>9</v>
      </c>
      <c r="K11" s="1086"/>
      <c r="L11" s="1086">
        <v>5</v>
      </c>
      <c r="M11" s="1086">
        <f t="shared" si="0"/>
        <v>1902.6000000000001</v>
      </c>
      <c r="N11" s="1086">
        <f t="shared" si="1"/>
        <v>1486.7999999999997</v>
      </c>
      <c r="O11" s="1086">
        <f t="shared" si="2"/>
        <v>3389.3999999999996</v>
      </c>
      <c r="P11" s="1086">
        <v>15.5</v>
      </c>
      <c r="Q11" s="1086">
        <v>5</v>
      </c>
      <c r="R11" s="1086">
        <f t="shared" si="3"/>
        <v>74.566800000000001</v>
      </c>
      <c r="S11" s="1086">
        <v>10</v>
      </c>
      <c r="T11" s="1086"/>
      <c r="U11" s="1086"/>
      <c r="V11" s="1086"/>
    </row>
    <row r="12" spans="1:22">
      <c r="A12" s="1086"/>
      <c r="B12" s="1086"/>
      <c r="C12" s="1086"/>
      <c r="D12" s="1086"/>
      <c r="E12" s="1086"/>
      <c r="F12" s="1086" t="s">
        <v>1291</v>
      </c>
      <c r="G12" s="1086"/>
      <c r="H12" s="1086"/>
      <c r="I12" s="1086"/>
      <c r="J12" s="1086"/>
      <c r="K12" s="1086"/>
      <c r="L12" s="1086"/>
      <c r="M12" s="1086"/>
      <c r="N12" s="1086"/>
      <c r="O12" s="1086"/>
      <c r="P12" s="1086"/>
      <c r="Q12" s="1086"/>
      <c r="R12" s="1086"/>
      <c r="S12" s="1086"/>
      <c r="T12" s="1086"/>
      <c r="U12" s="1086"/>
      <c r="V12" s="1086">
        <v>9</v>
      </c>
    </row>
    <row r="13" spans="1:22" ht="29.25" customHeight="1">
      <c r="A13" s="1891" t="s">
        <v>1292</v>
      </c>
      <c r="B13" s="1891"/>
      <c r="C13" s="1891"/>
      <c r="D13" s="1891"/>
      <c r="E13" s="1891"/>
      <c r="F13" s="1891"/>
      <c r="G13" s="1891"/>
      <c r="H13" s="1891"/>
      <c r="I13" s="1891"/>
      <c r="J13" s="1891"/>
      <c r="K13" s="1891"/>
      <c r="L13" s="1891"/>
      <c r="M13" s="1891"/>
      <c r="N13" s="1891"/>
      <c r="O13" s="1891"/>
      <c r="P13" s="1891"/>
      <c r="Q13" s="1891"/>
      <c r="R13" s="1891"/>
      <c r="S13" s="1891"/>
      <c r="T13" s="1891"/>
      <c r="U13" s="1086"/>
      <c r="V13" s="1086">
        <v>10</v>
      </c>
    </row>
    <row r="14" spans="1:22">
      <c r="A14" s="1087">
        <f>I47</f>
        <v>2485.2453635432998</v>
      </c>
      <c r="B14" s="1086"/>
      <c r="C14" s="1086"/>
      <c r="D14" s="1086"/>
      <c r="E14" s="1086"/>
      <c r="F14" s="1086" t="s">
        <v>1293</v>
      </c>
      <c r="G14" s="1086"/>
      <c r="H14" s="1086"/>
      <c r="I14" s="1086"/>
      <c r="J14" s="1086"/>
      <c r="K14" s="1086"/>
      <c r="L14" s="1086"/>
      <c r="M14" s="1086"/>
      <c r="N14" s="1086"/>
      <c r="O14" s="1086"/>
      <c r="P14" s="1086"/>
      <c r="Q14" s="1086"/>
      <c r="R14" s="1086"/>
      <c r="S14" s="1086"/>
      <c r="T14" s="1086"/>
      <c r="U14" s="1086"/>
      <c r="V14" s="1086">
        <v>11</v>
      </c>
    </row>
    <row r="15" spans="1:22" ht="28.5" customHeight="1">
      <c r="A15" s="1891" t="s">
        <v>1294</v>
      </c>
      <c r="B15" s="1891"/>
      <c r="C15" s="1891"/>
      <c r="D15" s="1891"/>
      <c r="E15" s="1891"/>
      <c r="F15" s="1891"/>
      <c r="G15" s="1891"/>
      <c r="H15" s="1891"/>
      <c r="I15" s="1891"/>
      <c r="J15" s="1891"/>
      <c r="K15" s="1891"/>
      <c r="L15" s="1891"/>
      <c r="M15" s="1891"/>
      <c r="N15" s="1891"/>
      <c r="O15" s="1891"/>
      <c r="P15" s="1891"/>
      <c r="Q15" s="1891"/>
      <c r="R15" s="1891"/>
      <c r="S15" s="1891"/>
      <c r="T15" s="1891"/>
      <c r="U15" s="1086"/>
      <c r="V15" s="1086">
        <v>12</v>
      </c>
    </row>
    <row r="16" spans="1:22">
      <c r="A16" s="1086"/>
      <c r="B16" s="1086"/>
      <c r="C16" s="1086"/>
      <c r="D16" s="1086"/>
      <c r="E16" s="1086"/>
      <c r="F16" s="1088" t="s">
        <v>1295</v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6"/>
      <c r="S16" s="1086"/>
      <c r="T16" s="1086"/>
      <c r="U16" s="1086"/>
      <c r="V16" s="1086">
        <v>13</v>
      </c>
    </row>
    <row r="17" spans="1:22" ht="105.75" customHeight="1">
      <c r="A17" s="1085" t="s">
        <v>1251</v>
      </c>
      <c r="B17" s="1085" t="s">
        <v>1252</v>
      </c>
      <c r="C17" s="1085" t="s">
        <v>1296</v>
      </c>
      <c r="D17" s="1085" t="s">
        <v>1253</v>
      </c>
      <c r="E17" s="1085" t="s">
        <v>1297</v>
      </c>
      <c r="F17" s="1085" t="s">
        <v>1254</v>
      </c>
      <c r="G17" s="1085" t="s">
        <v>1255</v>
      </c>
      <c r="H17" s="1085" t="s">
        <v>1256</v>
      </c>
      <c r="I17" s="1085" t="s">
        <v>1257</v>
      </c>
      <c r="J17" s="1085" t="s">
        <v>1258</v>
      </c>
      <c r="K17" s="1085" t="s">
        <v>1259</v>
      </c>
      <c r="L17" s="1085" t="s">
        <v>1260</v>
      </c>
      <c r="M17" s="1085" t="s">
        <v>1261</v>
      </c>
      <c r="N17" s="1085" t="s">
        <v>1262</v>
      </c>
      <c r="O17" s="1085" t="s">
        <v>1263</v>
      </c>
      <c r="P17" s="1085" t="s">
        <v>1264</v>
      </c>
      <c r="Q17" s="1085" t="s">
        <v>1265</v>
      </c>
      <c r="R17" s="1085" t="s">
        <v>1266</v>
      </c>
      <c r="S17" s="1085" t="s">
        <v>1268</v>
      </c>
      <c r="T17" s="1085" t="s">
        <v>1267</v>
      </c>
      <c r="U17" s="1085" t="s">
        <v>1269</v>
      </c>
      <c r="V17" s="1086">
        <v>14</v>
      </c>
    </row>
    <row r="18" spans="1:22">
      <c r="A18" s="1086" t="s">
        <v>1270</v>
      </c>
      <c r="B18" s="1086" t="s">
        <v>1271</v>
      </c>
      <c r="C18" s="1086" t="s">
        <v>1272</v>
      </c>
      <c r="D18" s="1086" t="s">
        <v>1273</v>
      </c>
      <c r="E18" s="1086" t="s">
        <v>1274</v>
      </c>
      <c r="F18" s="1086" t="s">
        <v>1275</v>
      </c>
      <c r="G18" s="1086" t="s">
        <v>1276</v>
      </c>
      <c r="H18" s="1086" t="s">
        <v>1277</v>
      </c>
      <c r="I18" s="1086" t="s">
        <v>1278</v>
      </c>
      <c r="J18" s="1086" t="s">
        <v>1279</v>
      </c>
      <c r="K18" s="1086" t="s">
        <v>1280</v>
      </c>
      <c r="L18" s="1086" t="s">
        <v>1281</v>
      </c>
      <c r="M18" s="1086" t="s">
        <v>1282</v>
      </c>
      <c r="N18" s="1086" t="s">
        <v>1283</v>
      </c>
      <c r="O18" s="1086" t="s">
        <v>1284</v>
      </c>
      <c r="P18" s="1086" t="s">
        <v>1285</v>
      </c>
      <c r="Q18" s="1086" t="s">
        <v>1286</v>
      </c>
      <c r="R18" s="1086" t="s">
        <v>1287</v>
      </c>
      <c r="S18" s="1086" t="s">
        <v>1288</v>
      </c>
      <c r="T18" s="1086" t="s">
        <v>1289</v>
      </c>
      <c r="U18" s="1086" t="s">
        <v>1290</v>
      </c>
      <c r="V18" s="1086">
        <v>15</v>
      </c>
    </row>
    <row r="19" spans="1:22">
      <c r="A19" s="1086"/>
      <c r="B19" s="1086"/>
      <c r="C19" s="1086"/>
      <c r="D19" s="1086"/>
      <c r="E19" s="1086"/>
      <c r="F19" s="1086"/>
      <c r="G19" s="1086"/>
      <c r="H19" s="1086"/>
      <c r="I19" s="1086"/>
      <c r="J19" s="1086"/>
      <c r="K19" s="1086"/>
      <c r="L19" s="1086"/>
      <c r="M19" s="1086"/>
      <c r="N19" s="1086"/>
      <c r="O19" s="1086"/>
      <c r="P19" s="1086"/>
      <c r="Q19" s="1086"/>
      <c r="R19" s="1086"/>
      <c r="S19" s="1086"/>
      <c r="T19" s="1086"/>
      <c r="U19" s="1086"/>
      <c r="V19" s="1086"/>
    </row>
    <row r="20" spans="1:22">
      <c r="A20" s="1086" t="s">
        <v>1418</v>
      </c>
      <c r="B20" s="1086">
        <v>31</v>
      </c>
      <c r="C20" s="1086">
        <v>1.3</v>
      </c>
      <c r="D20" s="1086">
        <v>2.8</v>
      </c>
      <c r="E20" s="1086">
        <v>3</v>
      </c>
      <c r="F20" s="1086">
        <v>10</v>
      </c>
      <c r="G20" s="1086">
        <v>5</v>
      </c>
      <c r="H20" s="1086">
        <v>5</v>
      </c>
      <c r="I20" s="1086">
        <v>10</v>
      </c>
      <c r="J20" s="1086">
        <v>10</v>
      </c>
      <c r="K20" s="1086">
        <v>1</v>
      </c>
      <c r="L20" s="1086"/>
      <c r="M20" s="1086"/>
      <c r="N20" s="1086">
        <v>6.5</v>
      </c>
      <c r="O20" s="1086">
        <f>(0.01*B20*K20/2*(1+0.01*SUM(G20))+0.01*B20*L20/2*(1+0.01*(SUM(G20)+H20))+0.01*B20*M20/2*(1+0.01*(SUM(G20)+I20))+0.01*B20*N20/2*(1+0.01*(SUM(G20)+J20)))*20*7+(0.01*(B20+C20*E20)*K20/2*(1+0.01*SUM(G20))+0.01*(B20+C20*E20)*L20/2*(1+0.01*(SUM(G20)+H20))+0.01*(B20+C20*E20)*M20/2*(1+0.01*(SUM(G20)+I20))+0.01*(B20+C20*E20)*N20/2*(1+0.01*(SUM(G20)+J20)))*20*7</f>
        <v>393.25824999999998</v>
      </c>
      <c r="P20" s="1086">
        <f>(0.01*(B20+C20*E20)*K20/2*(1+0.01*SUM(F20:G20))+0.01*(B20+C20*E20)*L20/2*(1+0.01*(SUM(F20:G20)+H20))+0.01*(B20+C20*E20)*M20/2*(1+0.01*(SUM(F20:G20)+I20))+0.01*(B20+C20*E20)*N20/2*(1+0.01*(SUM(F20:G20)+J20)))*20*5+(0.01*(B20+C20*E20)*K20/2*(1+0.01*SUM(F20:G20))+0.01*(B20+C20*E20)*L20/2*(1+0.01*(SUM(F20:G20)+H20))+0.01*(B20+C20*E20)*M20/2*(1+0.01*(SUM(F20:G20)+I20))+0.01*(B20+C20*E20)*N20/2*(1+0.01*(SUM(F20:G20)+J20)))*20*5</f>
        <v>323.69749999999999</v>
      </c>
      <c r="Q20" s="1089">
        <f>SUM(O20:P20)</f>
        <v>716.95574999999997</v>
      </c>
      <c r="R20" s="1086">
        <v>14.5</v>
      </c>
      <c r="S20" s="1090">
        <f>D20*Q20/100</f>
        <v>20.074760999999999</v>
      </c>
      <c r="T20" s="1086">
        <v>8</v>
      </c>
      <c r="U20" s="1086">
        <v>10</v>
      </c>
      <c r="V20" s="1086"/>
    </row>
    <row r="21" spans="1:22" ht="12" customHeight="1">
      <c r="A21" s="1086" t="s">
        <v>1419</v>
      </c>
      <c r="B21" s="1086">
        <v>31</v>
      </c>
      <c r="C21" s="1086">
        <v>1.3</v>
      </c>
      <c r="D21" s="1086">
        <v>2.8</v>
      </c>
      <c r="E21" s="1086">
        <v>3</v>
      </c>
      <c r="F21" s="1086">
        <v>10</v>
      </c>
      <c r="G21" s="1086">
        <v>5</v>
      </c>
      <c r="H21" s="1086">
        <v>5</v>
      </c>
      <c r="I21" s="1086">
        <v>10</v>
      </c>
      <c r="J21" s="1086">
        <v>10</v>
      </c>
      <c r="K21" s="1086">
        <v>10</v>
      </c>
      <c r="L21" s="1086"/>
      <c r="M21" s="1086"/>
      <c r="N21" s="1086">
        <v>10</v>
      </c>
      <c r="O21" s="1086">
        <f>(0.01*B21*K21/2*(1+0.01*SUM(G21))+0.01*B21*L21/2*(1+0.01*(SUM(G21)+H21))+0.01*B21*M21/2*(1+0.01*(SUM(G21)+I21))+0.01*B21*N21/2*(1+0.01*(SUM(G21)+J21)))*20*7+(0.01*(B21+C21*E21)*K21/2*(1+0.01*SUM(G21))+0.01*(B21+C21*E21)*L21/2*(1+0.01*(SUM(G21)+H21))+0.01*(B21+C21*E21)*M21/2*(1+0.01*(SUM(G21)+I21))+0.01*(B21+C21*E21)*N21/2*(1+0.01*(SUM(G21)+J21)))*20*7</f>
        <v>1014.8599999999999</v>
      </c>
      <c r="P21" s="1086">
        <f>(0.01*(B21+C21*E21)*K21/2*(1+0.01*SUM(F21:G21))+0.01*(B21+C21*E21)*L21/2*(1+0.01*(SUM(F21:G21)+H21))+0.01*(B21+C21*E21)*M21/2*(1+0.01*(SUM(F21:G21)+I21))+0.01*(B21+C21*E21)*N21/2*(1+0.01*(SUM(F21:G21)+J21)))*20*5+(0.01*(B21+C21*E21)*K21/2*(1+0.01*SUM(F21:G21))+0.01*(B21+C21*E21)*L21/2*(1+0.01*(SUM(F21:G21)+H21))+0.01*(B21+C21*E21)*M21/2*(1+0.01*(SUM(F21:G21)+I21))+0.01*(B21+C21*E21)*N21/2*(1+0.01*(SUM(F21:G21)+J21)))*20*5</f>
        <v>837.59999999999991</v>
      </c>
      <c r="Q21" s="1089">
        <f>SUM(O21:P21)</f>
        <v>1852.4599999999998</v>
      </c>
      <c r="R21" s="1086">
        <v>15.5</v>
      </c>
      <c r="S21" s="1090">
        <f>D21*Q21/100</f>
        <v>51.86887999999999</v>
      </c>
      <c r="T21" s="1086">
        <v>8</v>
      </c>
      <c r="U21" s="1086">
        <v>10</v>
      </c>
      <c r="V21" s="1086">
        <v>18</v>
      </c>
    </row>
    <row r="22" spans="1:22" ht="15" customHeight="1">
      <c r="A22" s="1086"/>
      <c r="B22" s="1086"/>
      <c r="C22" s="1086"/>
      <c r="D22" s="1086"/>
      <c r="E22" s="1086"/>
      <c r="F22" s="1086"/>
      <c r="G22" s="1086"/>
      <c r="H22" s="1086"/>
      <c r="I22" s="1086"/>
      <c r="J22" s="1086"/>
      <c r="K22" s="1086"/>
      <c r="L22" s="1086"/>
      <c r="M22" s="1086"/>
      <c r="N22" s="1086"/>
      <c r="O22" s="1086"/>
      <c r="P22" s="1086"/>
      <c r="Q22" s="1086"/>
      <c r="R22" s="1086"/>
      <c r="S22" s="1086"/>
      <c r="T22" s="1086"/>
      <c r="U22" s="1086"/>
      <c r="V22" s="1086">
        <v>19</v>
      </c>
    </row>
    <row r="23" spans="1:22">
      <c r="A23" s="1086"/>
      <c r="B23" s="1086"/>
      <c r="C23" s="1086"/>
      <c r="D23" s="1086"/>
      <c r="E23" s="1086"/>
      <c r="F23" s="1086" t="s">
        <v>1291</v>
      </c>
      <c r="G23" s="1086"/>
      <c r="H23" s="1086"/>
      <c r="I23" s="1086"/>
      <c r="J23" s="1086"/>
      <c r="K23" s="1086"/>
      <c r="L23" s="1086"/>
      <c r="M23" s="1086"/>
      <c r="N23" s="1086"/>
      <c r="O23" s="1086"/>
      <c r="P23" s="1086"/>
      <c r="Q23" s="1086"/>
      <c r="R23" s="1086"/>
      <c r="S23" s="1086"/>
      <c r="T23" s="1086"/>
      <c r="U23" s="1086"/>
      <c r="V23" s="1086">
        <v>20</v>
      </c>
    </row>
    <row r="24" spans="1:22" ht="39.75" customHeight="1">
      <c r="A24" s="1891" t="s">
        <v>1298</v>
      </c>
      <c r="B24" s="1891"/>
      <c r="C24" s="1891"/>
      <c r="D24" s="1891"/>
      <c r="E24" s="1891"/>
      <c r="F24" s="1891"/>
      <c r="G24" s="1891"/>
      <c r="H24" s="1891"/>
      <c r="I24" s="1891"/>
      <c r="J24" s="1891"/>
      <c r="K24" s="1891"/>
      <c r="L24" s="1891"/>
      <c r="M24" s="1891"/>
      <c r="N24" s="1891"/>
      <c r="O24" s="1891"/>
      <c r="P24" s="1891"/>
      <c r="Q24" s="1891"/>
      <c r="R24" s="1891"/>
      <c r="S24" s="1891"/>
      <c r="T24" s="1891"/>
      <c r="U24" s="1086"/>
      <c r="V24" s="1086">
        <v>21</v>
      </c>
    </row>
    <row r="25" spans="1:22">
      <c r="A25" s="1086"/>
      <c r="B25" s="1086"/>
      <c r="C25" s="1086"/>
      <c r="D25" s="1086"/>
      <c r="E25" s="1086"/>
      <c r="F25" s="1086" t="s">
        <v>1293</v>
      </c>
      <c r="G25" s="1086"/>
      <c r="H25" s="1086"/>
      <c r="I25" s="1086"/>
      <c r="J25" s="1086"/>
      <c r="K25" s="1086"/>
      <c r="L25" s="1086"/>
      <c r="M25" s="1086"/>
      <c r="N25" s="1086"/>
      <c r="O25" s="1086"/>
      <c r="P25" s="1086"/>
      <c r="Q25" s="1086"/>
      <c r="R25" s="1086"/>
      <c r="S25" s="1086"/>
      <c r="T25" s="1086"/>
      <c r="U25" s="1086"/>
      <c r="V25" s="1086">
        <v>22</v>
      </c>
    </row>
    <row r="26" spans="1:22" ht="42" customHeight="1">
      <c r="A26" s="1891" t="s">
        <v>1299</v>
      </c>
      <c r="B26" s="1891"/>
      <c r="C26" s="1891"/>
      <c r="D26" s="1891"/>
      <c r="E26" s="1891"/>
      <c r="F26" s="1891"/>
      <c r="G26" s="1891"/>
      <c r="H26" s="1891"/>
      <c r="I26" s="1891"/>
      <c r="J26" s="1891"/>
      <c r="K26" s="1891"/>
      <c r="L26" s="1891"/>
      <c r="M26" s="1891"/>
      <c r="N26" s="1891"/>
      <c r="O26" s="1891"/>
      <c r="P26" s="1891"/>
      <c r="Q26" s="1891"/>
      <c r="R26" s="1891"/>
      <c r="S26" s="1891"/>
      <c r="T26" s="1891"/>
      <c r="U26" s="1086"/>
      <c r="V26" s="1086">
        <v>23</v>
      </c>
    </row>
    <row r="27" spans="1:22" ht="14.25" customHeight="1">
      <c r="A27" s="1086"/>
      <c r="B27" s="1086"/>
      <c r="C27" s="1086"/>
      <c r="D27" s="1086"/>
      <c r="E27" s="1086"/>
      <c r="F27" s="1088" t="s">
        <v>1300</v>
      </c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6"/>
      <c r="R27" s="1086"/>
      <c r="S27" s="1086"/>
      <c r="T27" s="1086"/>
      <c r="U27" s="1086"/>
      <c r="V27" s="1086">
        <v>24</v>
      </c>
    </row>
    <row r="28" spans="1:22" ht="114.75" customHeight="1">
      <c r="A28" s="1085" t="s">
        <v>1251</v>
      </c>
      <c r="B28" s="1085" t="s">
        <v>1252</v>
      </c>
      <c r="C28" s="1085" t="s">
        <v>1301</v>
      </c>
      <c r="D28" s="1085" t="s">
        <v>1253</v>
      </c>
      <c r="E28" s="1085" t="s">
        <v>1302</v>
      </c>
      <c r="F28" s="1085" t="s">
        <v>1254</v>
      </c>
      <c r="G28" s="1085" t="s">
        <v>1255</v>
      </c>
      <c r="H28" s="1085" t="s">
        <v>1256</v>
      </c>
      <c r="I28" s="1085" t="s">
        <v>1257</v>
      </c>
      <c r="J28" s="1085" t="s">
        <v>1258</v>
      </c>
      <c r="K28" s="1085" t="s">
        <v>1259</v>
      </c>
      <c r="L28" s="1085" t="s">
        <v>1260</v>
      </c>
      <c r="M28" s="1085" t="s">
        <v>1261</v>
      </c>
      <c r="N28" s="1085" t="s">
        <v>1262</v>
      </c>
      <c r="O28" s="1085" t="s">
        <v>1263</v>
      </c>
      <c r="P28" s="1085" t="s">
        <v>1264</v>
      </c>
      <c r="Q28" s="1085" t="s">
        <v>1265</v>
      </c>
      <c r="R28" s="1085" t="s">
        <v>1266</v>
      </c>
      <c r="S28" s="1085" t="s">
        <v>1268</v>
      </c>
      <c r="T28" s="1085" t="s">
        <v>1267</v>
      </c>
      <c r="U28" s="1085" t="s">
        <v>1269</v>
      </c>
      <c r="V28" s="1086">
        <v>25</v>
      </c>
    </row>
    <row r="29" spans="1:22">
      <c r="A29" s="1086" t="s">
        <v>1270</v>
      </c>
      <c r="B29" s="1086" t="s">
        <v>1271</v>
      </c>
      <c r="C29" s="1086" t="s">
        <v>1272</v>
      </c>
      <c r="D29" s="1086" t="s">
        <v>1273</v>
      </c>
      <c r="E29" s="1086" t="s">
        <v>1274</v>
      </c>
      <c r="F29" s="1086" t="s">
        <v>1275</v>
      </c>
      <c r="G29" s="1086" t="s">
        <v>1276</v>
      </c>
      <c r="H29" s="1086" t="s">
        <v>1277</v>
      </c>
      <c r="I29" s="1086" t="s">
        <v>1278</v>
      </c>
      <c r="J29" s="1086" t="s">
        <v>1279</v>
      </c>
      <c r="K29" s="1086" t="s">
        <v>1280</v>
      </c>
      <c r="L29" s="1086" t="s">
        <v>1281</v>
      </c>
      <c r="M29" s="1086" t="s">
        <v>1282</v>
      </c>
      <c r="N29" s="1086" t="s">
        <v>1283</v>
      </c>
      <c r="O29" s="1086" t="s">
        <v>1284</v>
      </c>
      <c r="P29" s="1086" t="s">
        <v>1285</v>
      </c>
      <c r="Q29" s="1086" t="s">
        <v>1286</v>
      </c>
      <c r="R29" s="1086" t="s">
        <v>1287</v>
      </c>
      <c r="S29" s="1086" t="s">
        <v>1288</v>
      </c>
      <c r="T29" s="1086" t="s">
        <v>1289</v>
      </c>
      <c r="U29" s="1086" t="s">
        <v>1290</v>
      </c>
      <c r="V29" s="1086">
        <v>26</v>
      </c>
    </row>
    <row r="30" spans="1:22">
      <c r="A30" s="1091" t="s">
        <v>1412</v>
      </c>
      <c r="B30" s="1086">
        <v>32</v>
      </c>
      <c r="C30" s="1086">
        <v>6</v>
      </c>
      <c r="D30" s="1086">
        <v>2.2000000000000002</v>
      </c>
      <c r="E30" s="1086">
        <v>1</v>
      </c>
      <c r="F30" s="1086">
        <v>10</v>
      </c>
      <c r="G30" s="1086">
        <v>10</v>
      </c>
      <c r="H30" s="1086">
        <v>10</v>
      </c>
      <c r="I30" s="1086">
        <v>10</v>
      </c>
      <c r="J30" s="1086">
        <v>10</v>
      </c>
      <c r="K30" s="1086">
        <v>5</v>
      </c>
      <c r="L30" s="1086"/>
      <c r="M30" s="1086"/>
      <c r="N30" s="1086">
        <v>5</v>
      </c>
      <c r="O30" s="1086">
        <f t="shared" ref="O30:O36" si="4">(0.01*B30*K30*(1+0.01*SUM(G30))+0.01*B30*L30*(1+0.01*(SUM(G30)+H30))+0.01*B30*M30*(1+0.01*(SUM(G30)+I30))+0.01*B30*N30*(1+0.01*(SUM(G30)+J30)))*20*7+C30*E30*20*7</f>
        <v>1355.2</v>
      </c>
      <c r="P30" s="1086">
        <f t="shared" ref="P30:P36" si="5">(0.01*B30*K30*(1+0.01*SUM(F30:G30))+0.01*B30*L30*(1+0.01*(SUM(F30:G30)+H30))+0.01*B30*M30*(1+0.01*(SUM(F30:G30)+I30))+0.01*B30*N30*(1+0.01*(SUM(F30:G30)+J30)))*20*5+C30*E30*20*5</f>
        <v>1000</v>
      </c>
      <c r="Q30" s="1092">
        <f t="shared" ref="Q30:Q36" si="6">O30+P30</f>
        <v>2355.1999999999998</v>
      </c>
      <c r="R30" s="1086">
        <v>15</v>
      </c>
      <c r="S30" s="1086">
        <f t="shared" ref="S30:S36" si="7">D30*Q30/100</f>
        <v>51.814399999999999</v>
      </c>
      <c r="T30" s="1086">
        <v>12</v>
      </c>
      <c r="U30" s="1086">
        <v>5</v>
      </c>
      <c r="V30" s="1086">
        <v>27</v>
      </c>
    </row>
    <row r="31" spans="1:22">
      <c r="A31" s="1091" t="s">
        <v>1413</v>
      </c>
      <c r="B31" s="1086">
        <v>41</v>
      </c>
      <c r="C31" s="1086">
        <v>3.5</v>
      </c>
      <c r="D31" s="1086">
        <v>2.2000000000000002</v>
      </c>
      <c r="E31" s="1086">
        <v>3</v>
      </c>
      <c r="F31" s="1086">
        <v>10</v>
      </c>
      <c r="G31" s="1086">
        <v>10</v>
      </c>
      <c r="H31" s="1086">
        <v>10</v>
      </c>
      <c r="I31" s="1086">
        <v>10</v>
      </c>
      <c r="J31" s="1086">
        <v>10</v>
      </c>
      <c r="K31" s="1086"/>
      <c r="L31" s="1086">
        <v>15</v>
      </c>
      <c r="M31" s="1086"/>
      <c r="N31" s="1086">
        <v>5.5</v>
      </c>
      <c r="O31" s="1086">
        <f t="shared" si="4"/>
        <v>2882.04</v>
      </c>
      <c r="P31" s="1086">
        <f t="shared" si="5"/>
        <v>2142.65</v>
      </c>
      <c r="Q31" s="1090">
        <f t="shared" si="6"/>
        <v>5024.6900000000005</v>
      </c>
      <c r="R31" s="1086">
        <v>15</v>
      </c>
      <c r="S31" s="1086">
        <f t="shared" si="7"/>
        <v>110.54318000000001</v>
      </c>
      <c r="T31" s="1086">
        <v>10</v>
      </c>
      <c r="U31" s="1086">
        <v>5</v>
      </c>
      <c r="V31" s="1086">
        <v>28</v>
      </c>
    </row>
    <row r="32" spans="1:22" ht="15.75" customHeight="1">
      <c r="A32" s="1091" t="s">
        <v>1414</v>
      </c>
      <c r="B32" s="1086">
        <v>17.299999999999997</v>
      </c>
      <c r="C32" s="1086">
        <v>3.5</v>
      </c>
      <c r="D32" s="1086">
        <v>2.2000000000000002</v>
      </c>
      <c r="E32" s="1086">
        <v>3</v>
      </c>
      <c r="F32" s="1086">
        <v>10</v>
      </c>
      <c r="G32" s="1086">
        <v>10</v>
      </c>
      <c r="H32" s="1086">
        <v>10</v>
      </c>
      <c r="I32" s="1086">
        <v>10</v>
      </c>
      <c r="J32" s="1086">
        <v>10</v>
      </c>
      <c r="K32" s="1086">
        <v>29.8</v>
      </c>
      <c r="L32" s="1086"/>
      <c r="M32" s="1086"/>
      <c r="N32" s="1086">
        <v>5</v>
      </c>
      <c r="O32" s="1086">
        <f t="shared" si="4"/>
        <v>2409.2516000000001</v>
      </c>
      <c r="P32" s="1086">
        <f t="shared" si="5"/>
        <v>1781.098</v>
      </c>
      <c r="Q32" s="1092">
        <f t="shared" si="6"/>
        <v>4190.3495999999996</v>
      </c>
      <c r="R32" s="1086">
        <v>15</v>
      </c>
      <c r="S32" s="1086">
        <f t="shared" si="7"/>
        <v>92.187691199999989</v>
      </c>
      <c r="T32" s="1086">
        <v>10</v>
      </c>
      <c r="U32" s="1086">
        <v>5</v>
      </c>
      <c r="V32" s="1086">
        <v>29</v>
      </c>
    </row>
    <row r="33" spans="1:25" ht="26.25" customHeight="1">
      <c r="A33" s="1519" t="s">
        <v>1428</v>
      </c>
      <c r="B33" s="1086">
        <v>32.299999999999997</v>
      </c>
      <c r="C33" s="1086">
        <v>3.5</v>
      </c>
      <c r="D33" s="1086">
        <v>2.2000000000000002</v>
      </c>
      <c r="E33" s="1086">
        <v>2</v>
      </c>
      <c r="F33" s="1086">
        <v>10</v>
      </c>
      <c r="G33" s="1086"/>
      <c r="H33" s="1086">
        <v>10</v>
      </c>
      <c r="I33" s="1086">
        <v>10</v>
      </c>
      <c r="J33" s="1086">
        <v>10</v>
      </c>
      <c r="K33" s="1086">
        <v>19</v>
      </c>
      <c r="L33" s="1086"/>
      <c r="M33" s="1086"/>
      <c r="N33" s="1086">
        <v>3</v>
      </c>
      <c r="O33" s="1086">
        <f>(0.01*B33*K33*(1+0.01*SUM(G33))+0.01*B33*L33*(1+0.01*(SUM(G33)+H33))+0.01*B33*M33*(1+0.01*(SUM(G33)+I33))+0.01*B33*N33*(1+0.01*(SUM(G33)+J33)))*20*7+C33*E33*20*7</f>
        <v>1988.4059999999997</v>
      </c>
      <c r="P33" s="1086">
        <f>(0.01*B33*K33*(1+0.01*SUM(F33:G33))+0.01*B33*L33*(1+0.01*(SUM(F33:G33)+H33))+0.01*B33*M33*(1+0.01*(SUM(F33:G33)+I33))+0.01*B33*N33*(1+0.01*(SUM(F33:G33)+J33)))*20*5+C33*E33*20*5</f>
        <v>1491.35</v>
      </c>
      <c r="Q33" s="1518">
        <f>O33+P33</f>
        <v>3479.7559999999994</v>
      </c>
      <c r="R33" s="1086">
        <v>16</v>
      </c>
      <c r="S33" s="1086">
        <f>D33*Q33/100</f>
        <v>76.554631999999998</v>
      </c>
      <c r="T33" s="1086">
        <v>10</v>
      </c>
      <c r="U33" s="1086">
        <v>5</v>
      </c>
      <c r="V33" s="1086">
        <v>30</v>
      </c>
      <c r="X33" s="1517"/>
      <c r="Y33" s="1517"/>
    </row>
    <row r="34" spans="1:25" ht="26.25" customHeight="1">
      <c r="A34" s="1091" t="s">
        <v>1415</v>
      </c>
      <c r="B34" s="1086"/>
      <c r="C34" s="1086">
        <v>7</v>
      </c>
      <c r="D34" s="1086">
        <v>2.2000000000000002</v>
      </c>
      <c r="E34" s="1086">
        <v>1</v>
      </c>
      <c r="F34" s="1086">
        <v>10</v>
      </c>
      <c r="G34" s="1086">
        <v>10</v>
      </c>
      <c r="H34" s="1086">
        <v>10</v>
      </c>
      <c r="I34" s="1086">
        <v>10</v>
      </c>
      <c r="J34" s="1086">
        <v>10</v>
      </c>
      <c r="K34" s="1086"/>
      <c r="L34" s="1086"/>
      <c r="M34" s="1086"/>
      <c r="N34" s="1086"/>
      <c r="O34" s="1086">
        <f>(0.01*B34*K34*(1+0.01*SUM(G34))+0.01*B34*L34*(1+0.01*(SUM(G34)+H34))+0.01*B34*M34*(1+0.01*(SUM(G34)+I34))+0.01*B34*N34*(1+0.01*(SUM(G34)+J34)))*20*7+C34*E34*20*7</f>
        <v>980</v>
      </c>
      <c r="P34" s="1086">
        <f>(0.01*B34*K34*(1+0.01*SUM(F34:G34))+0.01*B34*L34*(1+0.01*(SUM(F34:G34)+H34))+0.01*B34*M34*(1+0.01*(SUM(F34:G34)+I34))+0.01*B34*N34*(1+0.01*(SUM(F34:G34)+J34)))*20*5+C34*E34*20*5</f>
        <v>700</v>
      </c>
      <c r="Q34" s="1092">
        <f>O34+P34</f>
        <v>1680</v>
      </c>
      <c r="R34" s="1086">
        <v>15</v>
      </c>
      <c r="S34" s="1086">
        <f t="shared" si="7"/>
        <v>36.960000000000008</v>
      </c>
      <c r="T34" s="1086">
        <v>10</v>
      </c>
      <c r="U34" s="1086">
        <v>5</v>
      </c>
      <c r="V34" s="1086">
        <v>31</v>
      </c>
    </row>
    <row r="35" spans="1:25" ht="15.75" customHeight="1">
      <c r="A35" s="1093" t="s">
        <v>1416</v>
      </c>
      <c r="B35" s="1086"/>
      <c r="C35" s="1086">
        <v>7</v>
      </c>
      <c r="D35" s="1086">
        <v>2.2000000000000002</v>
      </c>
      <c r="E35" s="1086">
        <v>2</v>
      </c>
      <c r="F35" s="1086">
        <v>10</v>
      </c>
      <c r="G35" s="1086">
        <v>10</v>
      </c>
      <c r="H35" s="1086">
        <v>10</v>
      </c>
      <c r="I35" s="1086">
        <v>10</v>
      </c>
      <c r="J35" s="1086">
        <v>10</v>
      </c>
      <c r="K35" s="1086"/>
      <c r="L35" s="1086"/>
      <c r="M35" s="1086"/>
      <c r="N35" s="1086"/>
      <c r="O35" s="1086">
        <f>(0.01*B35*K35*(1+0.01*SUM(G35))+0.01*B35*L35*(1+0.01*(SUM(G35)+H35))+0.01*B35*M35*(1+0.01*(SUM(G35)+I35))+0.01*B35*N35*(1+0.01*(SUM(G35)+J35)))*20*7+C35*E35*20*7</f>
        <v>1960</v>
      </c>
      <c r="P35" s="1086">
        <f t="shared" si="5"/>
        <v>1400</v>
      </c>
      <c r="Q35" s="1092">
        <f t="shared" si="6"/>
        <v>3360</v>
      </c>
      <c r="R35" s="1086">
        <v>15</v>
      </c>
      <c r="S35" s="1086">
        <f t="shared" si="7"/>
        <v>73.920000000000016</v>
      </c>
      <c r="T35" s="1086">
        <v>10</v>
      </c>
      <c r="U35" s="1086">
        <v>5</v>
      </c>
      <c r="V35" s="1086">
        <v>32</v>
      </c>
    </row>
    <row r="36" spans="1:25" ht="15.75" customHeight="1">
      <c r="A36" s="1093" t="s">
        <v>1417</v>
      </c>
      <c r="B36" s="1086"/>
      <c r="C36" s="1086">
        <v>7</v>
      </c>
      <c r="D36" s="1086">
        <v>2.2000000000000002</v>
      </c>
      <c r="E36" s="1086">
        <v>2</v>
      </c>
      <c r="F36" s="1086">
        <v>10</v>
      </c>
      <c r="G36" s="1086">
        <v>10</v>
      </c>
      <c r="H36" s="1086">
        <v>10</v>
      </c>
      <c r="I36" s="1086">
        <v>10</v>
      </c>
      <c r="J36" s="1086">
        <v>10</v>
      </c>
      <c r="K36" s="1086"/>
      <c r="L36" s="1086"/>
      <c r="M36" s="1086"/>
      <c r="N36" s="1086"/>
      <c r="O36" s="1086">
        <f t="shared" si="4"/>
        <v>1960</v>
      </c>
      <c r="P36" s="1086">
        <f t="shared" si="5"/>
        <v>1400</v>
      </c>
      <c r="Q36" s="1092">
        <f t="shared" si="6"/>
        <v>3360</v>
      </c>
      <c r="R36" s="1086">
        <v>16</v>
      </c>
      <c r="S36" s="1086">
        <f t="shared" si="7"/>
        <v>73.920000000000016</v>
      </c>
      <c r="T36" s="1086">
        <v>10</v>
      </c>
      <c r="U36" s="1086">
        <v>5</v>
      </c>
      <c r="V36" s="1086">
        <v>33</v>
      </c>
    </row>
    <row r="37" spans="1:25" ht="30.75" customHeight="1">
      <c r="A37" s="1890" t="s">
        <v>1303</v>
      </c>
      <c r="B37" s="1890"/>
      <c r="C37" s="1890"/>
      <c r="D37" s="1890"/>
      <c r="E37" s="1890"/>
      <c r="F37" s="1890"/>
      <c r="G37" s="1890"/>
      <c r="H37" s="1890"/>
      <c r="I37" s="1890"/>
      <c r="J37" s="1890"/>
      <c r="K37" s="1890"/>
      <c r="L37" s="1890"/>
      <c r="M37" s="1890"/>
      <c r="N37" s="1890"/>
      <c r="O37" s="1890"/>
      <c r="P37" s="1890"/>
      <c r="Q37" s="1890"/>
      <c r="R37" s="1890"/>
      <c r="S37" s="1890"/>
      <c r="T37" s="1890"/>
      <c r="U37" s="1890"/>
      <c r="V37" s="1890"/>
    </row>
    <row r="38" spans="1:25" ht="29.25" customHeight="1">
      <c r="A38" s="1890" t="s">
        <v>1304</v>
      </c>
      <c r="B38" s="1890"/>
      <c r="C38" s="1890"/>
      <c r="D38" s="1890"/>
      <c r="E38" s="1890"/>
      <c r="F38" s="1890"/>
      <c r="G38" s="1890"/>
      <c r="H38" s="1890"/>
      <c r="I38" s="1890"/>
      <c r="J38" s="1890"/>
      <c r="K38" s="1890"/>
      <c r="L38" s="1890"/>
      <c r="M38" s="1890"/>
      <c r="N38" s="1890"/>
      <c r="O38" s="1890"/>
      <c r="P38" s="1890"/>
      <c r="Q38" s="1890"/>
      <c r="R38" s="1890"/>
      <c r="S38" s="1890"/>
      <c r="T38" s="1890"/>
      <c r="U38" s="1890"/>
      <c r="V38" s="1890"/>
    </row>
    <row r="40" spans="1:25">
      <c r="A40" s="1892" t="s">
        <v>1305</v>
      </c>
      <c r="B40" s="1892"/>
      <c r="C40" s="1892" t="s">
        <v>262</v>
      </c>
      <c r="D40" s="1892"/>
      <c r="E40" s="1892"/>
      <c r="F40" s="1892" t="s">
        <v>1306</v>
      </c>
      <c r="G40" s="1892"/>
      <c r="H40" s="1892"/>
      <c r="I40" s="1892" t="s">
        <v>1307</v>
      </c>
      <c r="J40" s="1892"/>
      <c r="K40" s="1892"/>
    </row>
    <row r="41" spans="1:25">
      <c r="A41" s="1892"/>
      <c r="B41" s="1892"/>
      <c r="C41" s="1892" t="s">
        <v>1308</v>
      </c>
      <c r="D41" s="1892"/>
      <c r="E41" s="1892"/>
      <c r="F41" s="1892" t="s">
        <v>1309</v>
      </c>
      <c r="G41" s="1892"/>
      <c r="H41" s="1892"/>
      <c r="I41" s="1892" t="s">
        <v>1310</v>
      </c>
      <c r="J41" s="1892"/>
      <c r="K41" s="1892"/>
    </row>
    <row r="42" spans="1:25">
      <c r="A42" s="1892" t="s">
        <v>1311</v>
      </c>
      <c r="B42" s="1892"/>
      <c r="C42" s="1893">
        <f>SUM(O5:O11)+Q31+Q33</f>
        <v>33406.556000000004</v>
      </c>
      <c r="D42" s="1893"/>
      <c r="E42" s="1893"/>
      <c r="F42" s="1894">
        <v>44.997499999999995</v>
      </c>
      <c r="G42" s="1895"/>
      <c r="H42" s="1896"/>
      <c r="I42" s="1897">
        <f>C42*F42/1000</f>
        <v>1503.2115036099999</v>
      </c>
      <c r="J42" s="1897"/>
      <c r="K42" s="1897"/>
    </row>
    <row r="43" spans="1:25">
      <c r="A43" s="1898" t="s">
        <v>1312</v>
      </c>
      <c r="B43" s="1898"/>
      <c r="C43" s="1899">
        <f>Q20+Q21+Q30+Q32+Q34+Q35+Q36</f>
        <v>17514.965349999999</v>
      </c>
      <c r="D43" s="1899"/>
      <c r="E43" s="1899"/>
      <c r="F43" s="1894">
        <v>48.822000000000003</v>
      </c>
      <c r="G43" s="1895"/>
      <c r="H43" s="1896"/>
      <c r="I43" s="1897">
        <f>C43*F43/1000</f>
        <v>855.11563831770002</v>
      </c>
      <c r="J43" s="1897"/>
      <c r="K43" s="1897"/>
    </row>
    <row r="44" spans="1:25">
      <c r="A44" s="1892" t="s">
        <v>1313</v>
      </c>
      <c r="B44" s="1892"/>
      <c r="C44" s="1893">
        <f>R5+R6+R7+R10+S19+S20+S21+S30+S31+S32</f>
        <v>608.93041220000009</v>
      </c>
      <c r="D44" s="1893"/>
      <c r="E44" s="1893"/>
      <c r="F44" s="1892">
        <v>198</v>
      </c>
      <c r="G44" s="1892"/>
      <c r="H44" s="1892"/>
      <c r="I44" s="1897">
        <f>C44*F44/1000</f>
        <v>120.56822161560002</v>
      </c>
      <c r="J44" s="1897"/>
      <c r="K44" s="1897"/>
    </row>
    <row r="45" spans="1:25">
      <c r="A45" s="1892" t="s">
        <v>1314</v>
      </c>
      <c r="B45" s="1892"/>
      <c r="C45" s="1892">
        <f>T32+T31+T30+T21+T20+T19+Q10+Q7+Q6+Q5</f>
        <v>68</v>
      </c>
      <c r="D45" s="1892"/>
      <c r="E45" s="1892"/>
      <c r="F45" s="1892">
        <v>75</v>
      </c>
      <c r="G45" s="1892"/>
      <c r="H45" s="1892"/>
      <c r="I45" s="1897">
        <f>C45*F45/1000</f>
        <v>5.0999999999999996</v>
      </c>
      <c r="J45" s="1897"/>
      <c r="K45" s="1897"/>
    </row>
    <row r="46" spans="1:25" ht="27.75" customHeight="1">
      <c r="A46" s="1890" t="s">
        <v>1315</v>
      </c>
      <c r="B46" s="1890"/>
      <c r="C46" s="1892">
        <f>U32+U31+U30+U21+U20+U19+S10+S7+S6+S5+U33+U34+U35+S8+S9+S11+U36</f>
        <v>125</v>
      </c>
      <c r="D46" s="1892"/>
      <c r="E46" s="1892"/>
      <c r="F46" s="1892">
        <v>10</v>
      </c>
      <c r="G46" s="1892"/>
      <c r="H46" s="1892"/>
      <c r="I46" s="1897">
        <f>C46*F46/1000</f>
        <v>1.25</v>
      </c>
      <c r="J46" s="1897"/>
      <c r="K46" s="1897"/>
    </row>
    <row r="47" spans="1:25">
      <c r="A47" s="1892" t="s">
        <v>400</v>
      </c>
      <c r="B47" s="1892"/>
      <c r="C47" s="1893">
        <f>SUM(C42:E46)</f>
        <v>51723.451762200006</v>
      </c>
      <c r="D47" s="1892"/>
      <c r="E47" s="1892"/>
      <c r="F47" s="1893">
        <f>SUM(F42:H46)</f>
        <v>376.81950000000001</v>
      </c>
      <c r="G47" s="1892"/>
      <c r="H47" s="1892"/>
      <c r="I47" s="1897">
        <f>SUM(I42:K46)</f>
        <v>2485.2453635432998</v>
      </c>
      <c r="J47" s="1897"/>
      <c r="K47" s="1897"/>
    </row>
    <row r="48" spans="1:25">
      <c r="A48" s="1094"/>
      <c r="B48" s="1094"/>
      <c r="C48" s="1095"/>
      <c r="D48" s="1094"/>
      <c r="E48" s="1094"/>
      <c r="F48" s="1095"/>
      <c r="G48" s="1094"/>
      <c r="H48" s="1094"/>
      <c r="I48" s="1095"/>
      <c r="J48" s="1094"/>
      <c r="K48" s="1094"/>
    </row>
    <row r="50" spans="1:27">
      <c r="AA50" s="1096"/>
    </row>
    <row r="52" spans="1:27">
      <c r="A52" s="1094"/>
      <c r="B52" s="1094"/>
      <c r="C52" s="1095"/>
      <c r="D52" s="1082" t="s">
        <v>1316</v>
      </c>
      <c r="E52" s="1094"/>
      <c r="F52" s="1095"/>
      <c r="G52" s="1094"/>
      <c r="H52" s="1094"/>
      <c r="I52" s="1095"/>
      <c r="J52" s="1094"/>
      <c r="K52" s="1094"/>
    </row>
    <row r="59" spans="1:27">
      <c r="H59" s="1082" t="s">
        <v>1317</v>
      </c>
    </row>
  </sheetData>
  <protectedRanges>
    <protectedRange sqref="A33:A36" name="Диапазон1_1_2_1"/>
  </protectedRanges>
  <mergeCells count="38">
    <mergeCell ref="A46:B46"/>
    <mergeCell ref="C46:E46"/>
    <mergeCell ref="F46:H46"/>
    <mergeCell ref="I46:K46"/>
    <mergeCell ref="A47:B47"/>
    <mergeCell ref="C47:E47"/>
    <mergeCell ref="F47:H47"/>
    <mergeCell ref="I47:K47"/>
    <mergeCell ref="A44:B44"/>
    <mergeCell ref="C44:E44"/>
    <mergeCell ref="F44:H44"/>
    <mergeCell ref="I44:K44"/>
    <mergeCell ref="A45:B45"/>
    <mergeCell ref="C45:E45"/>
    <mergeCell ref="F45:H45"/>
    <mergeCell ref="I45:K45"/>
    <mergeCell ref="A42:B42"/>
    <mergeCell ref="C42:E42"/>
    <mergeCell ref="F42:H42"/>
    <mergeCell ref="I42:K42"/>
    <mergeCell ref="A43:B43"/>
    <mergeCell ref="C43:E43"/>
    <mergeCell ref="F43:H43"/>
    <mergeCell ref="I43:K43"/>
    <mergeCell ref="A40:B40"/>
    <mergeCell ref="C40:E40"/>
    <mergeCell ref="F40:H40"/>
    <mergeCell ref="I40:K40"/>
    <mergeCell ref="A41:B41"/>
    <mergeCell ref="C41:E41"/>
    <mergeCell ref="F41:H41"/>
    <mergeCell ref="I41:K41"/>
    <mergeCell ref="A38:V38"/>
    <mergeCell ref="A13:T13"/>
    <mergeCell ref="A15:T15"/>
    <mergeCell ref="A24:T24"/>
    <mergeCell ref="A26:T26"/>
    <mergeCell ref="A37:V37"/>
  </mergeCells>
  <pageMargins left="0.75" right="0.75" top="0.33" bottom="0.25" header="0.17" footer="0.15"/>
  <pageSetup paperSize="9" scale="96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F34"/>
  <sheetViews>
    <sheetView topLeftCell="A7" workbookViewId="0">
      <selection activeCell="A18" sqref="A16:A18"/>
    </sheetView>
  </sheetViews>
  <sheetFormatPr defaultRowHeight="12.75"/>
  <cols>
    <col min="1" max="1" width="48.5703125" customWidth="1"/>
    <col min="2" max="2" width="11.140625" customWidth="1"/>
    <col min="3" max="3" width="12.140625" customWidth="1"/>
    <col min="4" max="4" width="11.5703125" customWidth="1"/>
    <col min="5" max="5" width="13.42578125" customWidth="1"/>
    <col min="6" max="6" width="3.5703125" customWidth="1"/>
  </cols>
  <sheetData>
    <row r="1" spans="1:6" ht="59.25" customHeight="1">
      <c r="A1" s="1885" t="s">
        <v>513</v>
      </c>
      <c r="B1" s="1885"/>
      <c r="C1" s="1885"/>
      <c r="D1" s="1885"/>
      <c r="E1" s="1885"/>
      <c r="F1" s="1005">
        <v>24</v>
      </c>
    </row>
    <row r="2" spans="1:6" ht="18.75">
      <c r="A2" s="278"/>
      <c r="B2" s="279"/>
      <c r="C2" s="279"/>
      <c r="D2" s="280" t="s">
        <v>536</v>
      </c>
      <c r="E2" s="281"/>
    </row>
    <row r="3" spans="1:6">
      <c r="A3" s="1815" t="s">
        <v>245</v>
      </c>
      <c r="B3" s="1074">
        <v>2019</v>
      </c>
      <c r="C3" s="1074">
        <v>2020</v>
      </c>
      <c r="D3" s="1816">
        <v>2022</v>
      </c>
      <c r="E3" s="1816"/>
    </row>
    <row r="4" spans="1:6" ht="39" customHeight="1">
      <c r="A4" s="1815"/>
      <c r="B4" s="318" t="s">
        <v>514</v>
      </c>
      <c r="C4" s="318" t="s">
        <v>515</v>
      </c>
      <c r="D4" s="318" t="s">
        <v>516</v>
      </c>
      <c r="E4" s="318" t="s">
        <v>517</v>
      </c>
    </row>
    <row r="5" spans="1:6">
      <c r="A5" s="319">
        <v>1</v>
      </c>
      <c r="B5" s="320">
        <v>3</v>
      </c>
      <c r="C5" s="320">
        <v>4</v>
      </c>
      <c r="D5" s="320">
        <v>5</v>
      </c>
      <c r="E5" s="320">
        <v>6</v>
      </c>
    </row>
    <row r="6" spans="1:6" s="677" customFormat="1" ht="18" customHeight="1">
      <c r="A6" s="530" t="s">
        <v>518</v>
      </c>
      <c r="B6" s="686">
        <f>B7+B15+B21+B27</f>
        <v>67.06</v>
      </c>
      <c r="C6" s="686">
        <f>C7+C15+C21+C27</f>
        <v>0</v>
      </c>
      <c r="D6" s="686">
        <f>D7+D15+D21+D27</f>
        <v>331.96640000000002</v>
      </c>
      <c r="E6" s="686">
        <f>E7+E15+E21+E27</f>
        <v>0</v>
      </c>
    </row>
    <row r="7" spans="1:6" s="677" customFormat="1" ht="18" customHeight="1">
      <c r="A7" s="321" t="s">
        <v>519</v>
      </c>
      <c r="B7" s="693">
        <f>SUM(B8:B13)</f>
        <v>67.06</v>
      </c>
      <c r="C7" s="693">
        <f>SUM(C8:C13)</f>
        <v>0</v>
      </c>
      <c r="D7" s="693">
        <f>SUM(D8:D13)</f>
        <v>194.8544</v>
      </c>
      <c r="E7" s="693">
        <f>SUM(E8:E13)</f>
        <v>0</v>
      </c>
    </row>
    <row r="8" spans="1:6" s="677" customFormat="1" ht="26.1" customHeight="1">
      <c r="A8" s="322" t="s">
        <v>1213</v>
      </c>
      <c r="B8" s="300">
        <v>67.06</v>
      </c>
      <c r="C8" s="694"/>
      <c r="D8" s="300">
        <f>B8*1.04</f>
        <v>69.742400000000004</v>
      </c>
      <c r="E8" s="300"/>
    </row>
    <row r="9" spans="1:6" s="677" customFormat="1" ht="26.1" customHeight="1">
      <c r="A9" s="322" t="s">
        <v>520</v>
      </c>
      <c r="B9" s="289"/>
      <c r="C9" s="694"/>
      <c r="D9" s="300">
        <f>120.3*1.04</f>
        <v>125.11199999999999</v>
      </c>
      <c r="E9" s="300"/>
    </row>
    <row r="10" spans="1:6" s="677" customFormat="1" ht="26.1" customHeight="1">
      <c r="A10" s="322" t="s">
        <v>520</v>
      </c>
      <c r="B10" s="300"/>
      <c r="C10" s="694"/>
      <c r="D10" s="300"/>
      <c r="E10" s="300"/>
    </row>
    <row r="11" spans="1:6" s="677" customFormat="1" ht="26.1" hidden="1" customHeight="1">
      <c r="A11" s="322" t="s">
        <v>520</v>
      </c>
      <c r="B11" s="300"/>
      <c r="C11" s="694"/>
      <c r="D11" s="300"/>
      <c r="E11" s="300"/>
    </row>
    <row r="12" spans="1:6" s="677" customFormat="1" ht="26.1" hidden="1" customHeight="1">
      <c r="A12" s="322" t="s">
        <v>520</v>
      </c>
      <c r="B12" s="300"/>
      <c r="C12" s="694"/>
      <c r="D12" s="300"/>
      <c r="E12" s="300"/>
    </row>
    <row r="13" spans="1:6" s="677" customFormat="1" ht="26.1" hidden="1" customHeight="1">
      <c r="A13" s="322" t="s">
        <v>520</v>
      </c>
      <c r="B13" s="300"/>
      <c r="C13" s="694"/>
      <c r="D13" s="300"/>
      <c r="E13" s="300"/>
    </row>
    <row r="14" spans="1:6" s="677" customFormat="1" ht="18" customHeight="1">
      <c r="A14" s="1900"/>
      <c r="B14" s="1901"/>
      <c r="C14" s="1901"/>
      <c r="D14" s="1901"/>
      <c r="E14" s="1901"/>
    </row>
    <row r="15" spans="1:6" s="677" customFormat="1" ht="18" customHeight="1">
      <c r="A15" s="321" t="s">
        <v>521</v>
      </c>
      <c r="B15" s="693">
        <f>SUM(B16:B19)</f>
        <v>0</v>
      </c>
      <c r="C15" s="693">
        <f>SUM(C16:C19)</f>
        <v>0</v>
      </c>
      <c r="D15" s="693">
        <f>SUM(D16:D19)</f>
        <v>0</v>
      </c>
      <c r="E15" s="693">
        <f>SUM(E16:E19)</f>
        <v>0</v>
      </c>
    </row>
    <row r="16" spans="1:6" s="677" customFormat="1" ht="26.1" customHeight="1">
      <c r="A16" s="322" t="s">
        <v>520</v>
      </c>
      <c r="B16" s="776"/>
      <c r="C16" s="694"/>
      <c r="D16" s="300"/>
      <c r="E16" s="300"/>
    </row>
    <row r="17" spans="1:5" s="677" customFormat="1" ht="26.1" customHeight="1">
      <c r="A17" s="322" t="s">
        <v>520</v>
      </c>
      <c r="B17" s="777"/>
      <c r="C17" s="694"/>
      <c r="D17" s="777"/>
      <c r="E17" s="300"/>
    </row>
    <row r="18" spans="1:5" s="677" customFormat="1" ht="26.1" customHeight="1">
      <c r="A18" s="322" t="s">
        <v>520</v>
      </c>
      <c r="B18" s="777"/>
      <c r="C18" s="694"/>
      <c r="D18" s="777"/>
      <c r="E18" s="300"/>
    </row>
    <row r="19" spans="1:5" s="677" customFormat="1" ht="26.1" customHeight="1">
      <c r="A19" s="322" t="s">
        <v>520</v>
      </c>
      <c r="B19" s="300"/>
      <c r="C19" s="694"/>
      <c r="D19" s="300"/>
      <c r="E19" s="300"/>
    </row>
    <row r="20" spans="1:5" s="677" customFormat="1" ht="18" customHeight="1">
      <c r="A20" s="1900"/>
      <c r="B20" s="1901"/>
      <c r="C20" s="1901"/>
      <c r="D20" s="1901"/>
      <c r="E20" s="1901"/>
    </row>
    <row r="21" spans="1:5" s="677" customFormat="1" ht="18" customHeight="1">
      <c r="A21" s="321" t="s">
        <v>522</v>
      </c>
      <c r="B21" s="693">
        <f>SUM(B22:B25)</f>
        <v>0</v>
      </c>
      <c r="C21" s="693">
        <f>SUM(C22:C25)</f>
        <v>0</v>
      </c>
      <c r="D21" s="693">
        <f>SUM(D22:D25)</f>
        <v>12</v>
      </c>
      <c r="E21" s="693">
        <f>SUM(E22:E25)</f>
        <v>0</v>
      </c>
    </row>
    <row r="22" spans="1:5" s="677" customFormat="1" ht="26.1" customHeight="1">
      <c r="A22" s="322" t="s">
        <v>1525</v>
      </c>
      <c r="B22" s="300"/>
      <c r="C22" s="694"/>
      <c r="D22" s="300">
        <v>12</v>
      </c>
      <c r="E22" s="300"/>
    </row>
    <row r="23" spans="1:5" s="677" customFormat="1" ht="26.1" hidden="1" customHeight="1">
      <c r="A23" s="322" t="s">
        <v>520</v>
      </c>
      <c r="B23" s="300"/>
      <c r="C23" s="694"/>
      <c r="D23" s="300"/>
      <c r="E23" s="300"/>
    </row>
    <row r="24" spans="1:5" s="677" customFormat="1" ht="26.1" hidden="1" customHeight="1">
      <c r="A24" s="322" t="s">
        <v>520</v>
      </c>
      <c r="B24" s="300"/>
      <c r="C24" s="694"/>
      <c r="D24" s="300"/>
      <c r="E24" s="300"/>
    </row>
    <row r="25" spans="1:5" s="677" customFormat="1" ht="26.1" hidden="1" customHeight="1">
      <c r="A25" s="322" t="s">
        <v>520</v>
      </c>
      <c r="B25" s="300"/>
      <c r="C25" s="694"/>
      <c r="D25" s="300"/>
      <c r="E25" s="300"/>
    </row>
    <row r="26" spans="1:5" s="677" customFormat="1" ht="18" customHeight="1">
      <c r="A26" s="1900"/>
      <c r="B26" s="1901"/>
      <c r="C26" s="1901"/>
      <c r="D26" s="1901"/>
      <c r="E26" s="1901"/>
    </row>
    <row r="27" spans="1:5" s="677" customFormat="1" ht="38.25" customHeight="1">
      <c r="A27" s="321" t="s">
        <v>523</v>
      </c>
      <c r="B27" s="693">
        <f>SUM(B29:B33)</f>
        <v>0</v>
      </c>
      <c r="C27" s="693">
        <f>SUM(C29:C30)</f>
        <v>0</v>
      </c>
      <c r="D27" s="693">
        <f>SUM(D29:D33)</f>
        <v>125.11199999999999</v>
      </c>
      <c r="E27" s="693">
        <f>SUM(E29:E30)</f>
        <v>0</v>
      </c>
    </row>
    <row r="28" spans="1:5" s="677" customFormat="1" ht="38.25" customHeight="1">
      <c r="A28" s="321" t="s">
        <v>767</v>
      </c>
      <c r="B28" s="695"/>
      <c r="C28" s="693"/>
      <c r="D28" s="693"/>
      <c r="E28" s="693"/>
    </row>
    <row r="29" spans="1:5" s="677" customFormat="1" ht="26.1" customHeight="1">
      <c r="A29" s="322" t="s">
        <v>1524</v>
      </c>
      <c r="B29" s="776"/>
      <c r="C29" s="694"/>
      <c r="D29" s="300">
        <f>120.3*1.04</f>
        <v>125.11199999999999</v>
      </c>
      <c r="E29" s="300"/>
    </row>
    <row r="30" spans="1:5" s="677" customFormat="1" ht="26.1" customHeight="1">
      <c r="A30" s="322" t="s">
        <v>1523</v>
      </c>
      <c r="B30" s="777"/>
      <c r="C30" s="694"/>
      <c r="D30" s="777"/>
      <c r="E30" s="300"/>
    </row>
    <row r="31" spans="1:5" s="677" customFormat="1" ht="26.1" customHeight="1">
      <c r="A31" s="322" t="s">
        <v>760</v>
      </c>
      <c r="B31" s="300"/>
      <c r="C31" s="694"/>
      <c r="D31" s="300"/>
      <c r="E31" s="300"/>
    </row>
    <row r="32" spans="1:5" s="677" customFormat="1" ht="26.1" customHeight="1">
      <c r="A32" s="322" t="s">
        <v>768</v>
      </c>
      <c r="B32" s="300"/>
      <c r="C32" s="694"/>
      <c r="D32" s="300"/>
      <c r="E32" s="300"/>
    </row>
    <row r="33" spans="1:5" s="677" customFormat="1" ht="26.1" customHeight="1">
      <c r="A33" s="322" t="s">
        <v>759</v>
      </c>
      <c r="B33" s="300"/>
      <c r="C33" s="694"/>
      <c r="D33" s="300"/>
      <c r="E33" s="300"/>
    </row>
    <row r="34" spans="1:5">
      <c r="A34" s="1902"/>
      <c r="B34" s="1903"/>
      <c r="C34" s="1903"/>
      <c r="D34" s="1903"/>
      <c r="E34" s="1903"/>
    </row>
  </sheetData>
  <protectedRanges>
    <protectedRange sqref="B8:B13 D9:D13 B16:B19 D19 B22:B25 D22:D25 B29:B33" name="Диапазон1"/>
    <protectedRange sqref="A9:A13 A22:A25 A29:A33 A16:A19" name="Диапазон1_1"/>
    <protectedRange sqref="D8" name="Диапазон1_2"/>
    <protectedRange sqref="D16:D18 D29:D30" name="Диапазон1_3"/>
    <protectedRange sqref="D31:D33" name="Диапазон1_5"/>
    <protectedRange sqref="A8" name="Диапазон1_1_1"/>
  </protectedRanges>
  <mergeCells count="7">
    <mergeCell ref="A26:E26"/>
    <mergeCell ref="A34:E34"/>
    <mergeCell ref="A1:E1"/>
    <mergeCell ref="A3:A4"/>
    <mergeCell ref="D3:E3"/>
    <mergeCell ref="A14:E14"/>
    <mergeCell ref="A20:E20"/>
  </mergeCells>
  <pageMargins left="0.9055118110236221" right="0" top="0.19685039370078741" bottom="0.74803149606299213" header="0" footer="0.31496062992125984"/>
  <pageSetup paperSize="9" scale="9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4:K11"/>
  <sheetViews>
    <sheetView workbookViewId="0"/>
  </sheetViews>
  <sheetFormatPr defaultRowHeight="12.75"/>
  <cols>
    <col min="2" max="2" width="24.28515625" customWidth="1"/>
    <col min="3" max="3" width="28.28515625" customWidth="1"/>
    <col min="4" max="4" width="25.7109375" customWidth="1"/>
    <col min="5" max="5" width="21" customWidth="1"/>
    <col min="6" max="6" width="19" customWidth="1"/>
    <col min="7" max="7" width="21.5703125" customWidth="1"/>
    <col min="8" max="8" width="20.140625" customWidth="1"/>
    <col min="9" max="9" width="20.5703125" customWidth="1"/>
    <col min="10" max="10" width="23.28515625" customWidth="1"/>
    <col min="11" max="11" width="32.7109375" customWidth="1"/>
  </cols>
  <sheetData>
    <row r="4" spans="1:11" ht="18.75">
      <c r="A4" s="458" t="s">
        <v>597</v>
      </c>
      <c r="B4" s="449"/>
      <c r="C4" s="457"/>
      <c r="D4" s="459"/>
      <c r="E4" s="457"/>
      <c r="F4" s="457"/>
      <c r="G4" s="457"/>
      <c r="H4" s="457"/>
      <c r="I4" s="460"/>
      <c r="J4" s="460"/>
      <c r="K4" s="457"/>
    </row>
    <row r="5" spans="1:11">
      <c r="A5" s="1904" t="s">
        <v>635</v>
      </c>
      <c r="B5" s="1906" t="s">
        <v>641</v>
      </c>
      <c r="C5" s="1905" t="s">
        <v>642</v>
      </c>
      <c r="D5" s="1904" t="s">
        <v>643</v>
      </c>
      <c r="E5" s="1904" t="s">
        <v>639</v>
      </c>
      <c r="F5" s="1904" t="s">
        <v>636</v>
      </c>
      <c r="G5" s="1904" t="s">
        <v>638</v>
      </c>
      <c r="H5" s="1904" t="s">
        <v>637</v>
      </c>
      <c r="I5" s="1904" t="s">
        <v>928</v>
      </c>
      <c r="J5" s="1907" t="s">
        <v>929</v>
      </c>
      <c r="K5" s="1906" t="s">
        <v>930</v>
      </c>
    </row>
    <row r="6" spans="1:11">
      <c r="A6" s="1905"/>
      <c r="B6" s="1906"/>
      <c r="C6" s="1906"/>
      <c r="D6" s="1905"/>
      <c r="E6" s="1905"/>
      <c r="F6" s="1905"/>
      <c r="G6" s="1905"/>
      <c r="H6" s="1905"/>
      <c r="I6" s="1905"/>
      <c r="J6" s="1908"/>
      <c r="K6" s="1906"/>
    </row>
    <row r="7" spans="1:11">
      <c r="A7" s="440" t="s">
        <v>630</v>
      </c>
      <c r="B7" s="443"/>
      <c r="C7" s="444"/>
      <c r="D7" s="441"/>
      <c r="E7" s="445"/>
      <c r="F7" s="441"/>
      <c r="G7" s="442"/>
      <c r="H7" s="443"/>
      <c r="I7" s="448"/>
      <c r="J7" s="448"/>
      <c r="K7" s="448"/>
    </row>
    <row r="8" spans="1:11">
      <c r="A8" s="440" t="s">
        <v>23</v>
      </c>
      <c r="B8" s="443"/>
      <c r="C8" s="446"/>
      <c r="D8" s="441"/>
      <c r="E8" s="447"/>
      <c r="F8" s="441"/>
      <c r="G8" s="442"/>
      <c r="H8" s="443"/>
      <c r="I8" s="448"/>
      <c r="J8" s="448"/>
      <c r="K8" s="448"/>
    </row>
    <row r="9" spans="1:11">
      <c r="A9" s="440" t="s">
        <v>631</v>
      </c>
      <c r="B9" s="443"/>
      <c r="C9" s="446"/>
      <c r="D9" s="441"/>
      <c r="E9" s="447"/>
      <c r="F9" s="441"/>
      <c r="G9" s="442"/>
      <c r="H9" s="443"/>
      <c r="I9" s="448"/>
      <c r="J9" s="448"/>
      <c r="K9" s="448"/>
    </row>
    <row r="10" spans="1:11">
      <c r="A10" s="440" t="s">
        <v>632</v>
      </c>
      <c r="B10" s="443"/>
      <c r="C10" s="446"/>
      <c r="D10" s="441"/>
      <c r="E10" s="447"/>
      <c r="F10" s="441"/>
      <c r="G10" s="442"/>
      <c r="H10" s="443"/>
      <c r="I10" s="448"/>
      <c r="J10" s="448"/>
      <c r="K10" s="448"/>
    </row>
    <row r="11" spans="1:11" ht="18.75">
      <c r="A11" s="451"/>
      <c r="B11" s="452" t="s">
        <v>640</v>
      </c>
      <c r="C11" s="452"/>
      <c r="D11" s="453"/>
      <c r="E11" s="454"/>
      <c r="F11" s="453"/>
      <c r="G11" s="455"/>
      <c r="H11" s="452"/>
      <c r="I11" s="456">
        <f>SUM(I7:I10)</f>
        <v>0</v>
      </c>
      <c r="J11" s="456">
        <f>SUM(J7:J10)</f>
        <v>0</v>
      </c>
      <c r="K11" s="456">
        <f>SUM(K7:K10)</f>
        <v>0</v>
      </c>
    </row>
  </sheetData>
  <mergeCells count="11">
    <mergeCell ref="G5:G6"/>
    <mergeCell ref="H5:H6"/>
    <mergeCell ref="I5:I6"/>
    <mergeCell ref="J5:J6"/>
    <mergeCell ref="K5:K6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J28"/>
  <sheetViews>
    <sheetView topLeftCell="A16" workbookViewId="0">
      <selection activeCell="J12" sqref="J12"/>
    </sheetView>
  </sheetViews>
  <sheetFormatPr defaultRowHeight="12.75"/>
  <cols>
    <col min="1" max="1" width="52.140625" style="1627" customWidth="1"/>
    <col min="2" max="5" width="17" style="1627" customWidth="1"/>
    <col min="6" max="6" width="15.5703125" style="1627" customWidth="1"/>
    <col min="7" max="8" width="0" style="1627" hidden="1" customWidth="1"/>
    <col min="9" max="9" width="9.140625" style="1627" customWidth="1"/>
    <col min="10" max="16384" width="9.140625" style="1627"/>
  </cols>
  <sheetData>
    <row r="1" spans="1:10" ht="50.25" customHeight="1">
      <c r="A1" s="1885" t="s">
        <v>524</v>
      </c>
      <c r="B1" s="1885"/>
      <c r="C1" s="1885"/>
      <c r="D1" s="1885"/>
      <c r="E1" s="1885"/>
      <c r="F1" s="1885"/>
      <c r="G1" s="1885"/>
      <c r="I1" s="1018"/>
    </row>
    <row r="2" spans="1:10" ht="18.75">
      <c r="A2" s="940"/>
      <c r="B2" s="940"/>
      <c r="C2" s="940"/>
      <c r="D2" s="940"/>
      <c r="E2" s="940"/>
      <c r="F2" s="940"/>
      <c r="G2" s="282" t="s">
        <v>536</v>
      </c>
      <c r="H2" s="270"/>
    </row>
    <row r="3" spans="1:10">
      <c r="A3" s="1815" t="s">
        <v>245</v>
      </c>
      <c r="B3" s="1625">
        <v>2019</v>
      </c>
      <c r="C3" s="1625">
        <v>2019</v>
      </c>
      <c r="D3" s="1911">
        <v>2020</v>
      </c>
      <c r="E3" s="1912"/>
      <c r="F3" s="1625" t="s">
        <v>1522</v>
      </c>
      <c r="G3" s="1816">
        <v>2020</v>
      </c>
      <c r="H3" s="1816"/>
      <c r="I3" s="1816">
        <v>2022</v>
      </c>
      <c r="J3" s="1816"/>
    </row>
    <row r="4" spans="1:10" ht="51">
      <c r="A4" s="1815"/>
      <c r="B4" s="1626" t="s">
        <v>514</v>
      </c>
      <c r="C4" s="1626" t="s">
        <v>1225</v>
      </c>
      <c r="D4" s="1626" t="s">
        <v>514</v>
      </c>
      <c r="E4" s="1626" t="s">
        <v>1225</v>
      </c>
      <c r="F4" s="1626" t="s">
        <v>515</v>
      </c>
      <c r="G4" s="1626" t="s">
        <v>516</v>
      </c>
      <c r="H4" s="1626" t="s">
        <v>517</v>
      </c>
      <c r="I4" s="1626" t="s">
        <v>516</v>
      </c>
      <c r="J4" s="1626" t="s">
        <v>517</v>
      </c>
    </row>
    <row r="5" spans="1:10">
      <c r="A5" s="319">
        <v>1</v>
      </c>
      <c r="B5" s="320">
        <v>3</v>
      </c>
      <c r="C5" s="320"/>
      <c r="D5" s="320"/>
      <c r="E5" s="320"/>
      <c r="F5" s="320">
        <v>4</v>
      </c>
      <c r="G5" s="320">
        <v>5</v>
      </c>
      <c r="H5" s="320">
        <v>6</v>
      </c>
      <c r="I5" s="320">
        <v>5</v>
      </c>
      <c r="J5" s="320">
        <v>6</v>
      </c>
    </row>
    <row r="6" spans="1:10" ht="23.25" customHeight="1">
      <c r="A6" s="326" t="s">
        <v>525</v>
      </c>
      <c r="B6" s="327">
        <v>58</v>
      </c>
      <c r="C6" s="327">
        <f>58</f>
        <v>58</v>
      </c>
      <c r="D6" s="327">
        <v>58</v>
      </c>
      <c r="E6" s="327">
        <f>D6</f>
        <v>58</v>
      </c>
      <c r="F6" s="329" t="s">
        <v>432</v>
      </c>
      <c r="G6" s="327">
        <v>40</v>
      </c>
      <c r="H6" s="327">
        <f>C6</f>
        <v>58</v>
      </c>
      <c r="I6" s="327">
        <v>58</v>
      </c>
      <c r="J6" s="327">
        <f>E6</f>
        <v>58</v>
      </c>
    </row>
    <row r="7" spans="1:10" ht="23.25" customHeight="1">
      <c r="A7" s="321"/>
      <c r="B7" s="330"/>
      <c r="C7" s="330"/>
      <c r="D7" s="330"/>
      <c r="E7" s="330"/>
      <c r="F7" s="331"/>
      <c r="G7" s="330"/>
      <c r="H7" s="330"/>
      <c r="I7" s="330"/>
      <c r="J7" s="330"/>
    </row>
    <row r="8" spans="1:10" s="677" customFormat="1" ht="23.25" customHeight="1">
      <c r="A8" s="321" t="s">
        <v>526</v>
      </c>
      <c r="B8" s="693">
        <f>SUM(B9:B26)</f>
        <v>0</v>
      </c>
      <c r="C8" s="693"/>
      <c r="D8" s="693"/>
      <c r="E8" s="693"/>
      <c r="F8" s="696" t="s">
        <v>432</v>
      </c>
      <c r="G8" s="693">
        <f>SUM(G9:G26)</f>
        <v>0</v>
      </c>
      <c r="H8" s="693">
        <f>SUM(H9:H26)</f>
        <v>0</v>
      </c>
      <c r="I8" s="693">
        <f>SUM(I9:I26)</f>
        <v>0</v>
      </c>
      <c r="J8" s="693">
        <f>SUM(J9:J26)</f>
        <v>0</v>
      </c>
    </row>
    <row r="9" spans="1:10" s="677" customFormat="1" ht="23.25" customHeight="1">
      <c r="A9" s="332" t="s">
        <v>825</v>
      </c>
      <c r="B9" s="300"/>
      <c r="C9" s="300"/>
      <c r="D9" s="300"/>
      <c r="E9" s="300"/>
      <c r="F9" s="697" t="s">
        <v>432</v>
      </c>
      <c r="G9" s="300"/>
      <c r="H9" s="300"/>
      <c r="I9" s="300"/>
      <c r="J9" s="300"/>
    </row>
    <row r="10" spans="1:10" s="677" customFormat="1" ht="23.25" customHeight="1">
      <c r="A10" s="332" t="s">
        <v>825</v>
      </c>
      <c r="B10" s="300"/>
      <c r="C10" s="300"/>
      <c r="D10" s="300"/>
      <c r="E10" s="300"/>
      <c r="F10" s="697" t="s">
        <v>432</v>
      </c>
      <c r="G10" s="300"/>
      <c r="H10" s="300"/>
      <c r="I10" s="300"/>
      <c r="J10" s="300"/>
    </row>
    <row r="11" spans="1:10" s="677" customFormat="1" ht="23.25" customHeight="1">
      <c r="A11" s="332" t="s">
        <v>825</v>
      </c>
      <c r="B11" s="300"/>
      <c r="C11" s="300"/>
      <c r="D11" s="300"/>
      <c r="E11" s="300"/>
      <c r="F11" s="697" t="s">
        <v>432</v>
      </c>
      <c r="G11" s="300"/>
      <c r="H11" s="300"/>
      <c r="I11" s="300"/>
      <c r="J11" s="300"/>
    </row>
    <row r="12" spans="1:10" s="677" customFormat="1" ht="23.25" customHeight="1">
      <c r="A12" s="332" t="s">
        <v>825</v>
      </c>
      <c r="B12" s="300"/>
      <c r="C12" s="300"/>
      <c r="D12" s="300"/>
      <c r="E12" s="300"/>
      <c r="F12" s="697" t="s">
        <v>432</v>
      </c>
      <c r="G12" s="300"/>
      <c r="H12" s="300"/>
      <c r="I12" s="300"/>
      <c r="J12" s="300"/>
    </row>
    <row r="13" spans="1:10" s="677" customFormat="1" ht="23.25" customHeight="1">
      <c r="A13" s="332" t="s">
        <v>825</v>
      </c>
      <c r="B13" s="300"/>
      <c r="C13" s="300"/>
      <c r="D13" s="300"/>
      <c r="E13" s="300"/>
      <c r="F13" s="697" t="s">
        <v>432</v>
      </c>
      <c r="G13" s="300"/>
      <c r="H13" s="300"/>
      <c r="I13" s="300"/>
      <c r="J13" s="300"/>
    </row>
    <row r="14" spans="1:10" s="677" customFormat="1" ht="23.25" customHeight="1">
      <c r="A14" s="332" t="s">
        <v>825</v>
      </c>
      <c r="B14" s="300"/>
      <c r="C14" s="300"/>
      <c r="D14" s="300"/>
      <c r="E14" s="300"/>
      <c r="F14" s="697" t="s">
        <v>432</v>
      </c>
      <c r="G14" s="300"/>
      <c r="H14" s="300"/>
      <c r="I14" s="300"/>
      <c r="J14" s="300"/>
    </row>
    <row r="15" spans="1:10" s="677" customFormat="1" ht="23.25" customHeight="1">
      <c r="A15" s="332" t="s">
        <v>825</v>
      </c>
      <c r="B15" s="300"/>
      <c r="C15" s="300"/>
      <c r="D15" s="300"/>
      <c r="E15" s="300"/>
      <c r="F15" s="697" t="s">
        <v>432</v>
      </c>
      <c r="G15" s="300"/>
      <c r="H15" s="300"/>
      <c r="I15" s="300"/>
      <c r="J15" s="300"/>
    </row>
    <row r="16" spans="1:10" s="677" customFormat="1" ht="23.25" customHeight="1">
      <c r="A16" s="332" t="s">
        <v>825</v>
      </c>
      <c r="B16" s="300"/>
      <c r="C16" s="300"/>
      <c r="D16" s="300"/>
      <c r="E16" s="300"/>
      <c r="F16" s="697" t="s">
        <v>432</v>
      </c>
      <c r="G16" s="300"/>
      <c r="H16" s="300"/>
      <c r="I16" s="300"/>
      <c r="J16" s="300"/>
    </row>
    <row r="17" spans="1:10" s="677" customFormat="1" ht="23.25" customHeight="1">
      <c r="A17" s="332" t="s">
        <v>825</v>
      </c>
      <c r="B17" s="300"/>
      <c r="C17" s="300"/>
      <c r="D17" s="300"/>
      <c r="E17" s="300"/>
      <c r="F17" s="697" t="s">
        <v>432</v>
      </c>
      <c r="G17" s="300"/>
      <c r="H17" s="300"/>
      <c r="I17" s="300"/>
      <c r="J17" s="300"/>
    </row>
    <row r="18" spans="1:10" s="677" customFormat="1" ht="23.25" customHeight="1">
      <c r="A18" s="332" t="s">
        <v>825</v>
      </c>
      <c r="B18" s="300"/>
      <c r="C18" s="300"/>
      <c r="D18" s="300"/>
      <c r="E18" s="300"/>
      <c r="F18" s="697" t="s">
        <v>432</v>
      </c>
      <c r="G18" s="300"/>
      <c r="H18" s="300"/>
      <c r="I18" s="300"/>
      <c r="J18" s="300"/>
    </row>
    <row r="19" spans="1:10" s="677" customFormat="1" ht="23.25" customHeight="1">
      <c r="A19" s="332" t="s">
        <v>825</v>
      </c>
      <c r="B19" s="300"/>
      <c r="C19" s="300"/>
      <c r="D19" s="300"/>
      <c r="E19" s="300"/>
      <c r="F19" s="697" t="s">
        <v>432</v>
      </c>
      <c r="G19" s="300"/>
      <c r="H19" s="300"/>
      <c r="I19" s="300"/>
      <c r="J19" s="300"/>
    </row>
    <row r="20" spans="1:10" s="677" customFormat="1" ht="23.25" customHeight="1">
      <c r="A20" s="332" t="s">
        <v>825</v>
      </c>
      <c r="B20" s="300"/>
      <c r="C20" s="300"/>
      <c r="D20" s="300"/>
      <c r="E20" s="300"/>
      <c r="F20" s="697" t="s">
        <v>432</v>
      </c>
      <c r="G20" s="300"/>
      <c r="H20" s="300"/>
      <c r="I20" s="300"/>
      <c r="J20" s="300"/>
    </row>
    <row r="21" spans="1:10" s="677" customFormat="1" ht="23.25" customHeight="1">
      <c r="A21" s="332" t="s">
        <v>825</v>
      </c>
      <c r="B21" s="300"/>
      <c r="C21" s="300"/>
      <c r="D21" s="300"/>
      <c r="E21" s="300"/>
      <c r="F21" s="697" t="s">
        <v>432</v>
      </c>
      <c r="G21" s="300"/>
      <c r="H21" s="300"/>
      <c r="I21" s="300"/>
      <c r="J21" s="300"/>
    </row>
    <row r="22" spans="1:10" s="677" customFormat="1" ht="23.25" customHeight="1">
      <c r="A22" s="332" t="s">
        <v>825</v>
      </c>
      <c r="B22" s="300"/>
      <c r="C22" s="300"/>
      <c r="D22" s="300"/>
      <c r="E22" s="300"/>
      <c r="F22" s="697" t="s">
        <v>432</v>
      </c>
      <c r="G22" s="300"/>
      <c r="H22" s="300"/>
      <c r="I22" s="300"/>
      <c r="J22" s="300"/>
    </row>
    <row r="23" spans="1:10" s="677" customFormat="1" ht="23.25" customHeight="1">
      <c r="A23" s="332" t="s">
        <v>825</v>
      </c>
      <c r="B23" s="300"/>
      <c r="C23" s="300"/>
      <c r="D23" s="300"/>
      <c r="E23" s="300"/>
      <c r="F23" s="697" t="s">
        <v>432</v>
      </c>
      <c r="G23" s="300"/>
      <c r="H23" s="300"/>
      <c r="I23" s="300"/>
      <c r="J23" s="300"/>
    </row>
    <row r="24" spans="1:10" s="677" customFormat="1" ht="23.25" customHeight="1">
      <c r="A24" s="332" t="s">
        <v>825</v>
      </c>
      <c r="B24" s="300"/>
      <c r="C24" s="300"/>
      <c r="D24" s="300"/>
      <c r="E24" s="300"/>
      <c r="F24" s="697" t="s">
        <v>432</v>
      </c>
      <c r="G24" s="300"/>
      <c r="H24" s="300"/>
      <c r="I24" s="300"/>
      <c r="J24" s="300"/>
    </row>
    <row r="25" spans="1:10" s="677" customFormat="1" ht="23.25" customHeight="1">
      <c r="A25" s="332" t="s">
        <v>825</v>
      </c>
      <c r="B25" s="300"/>
      <c r="C25" s="300"/>
      <c r="D25" s="300"/>
      <c r="E25" s="300"/>
      <c r="F25" s="697" t="s">
        <v>432</v>
      </c>
      <c r="G25" s="300"/>
      <c r="H25" s="300"/>
      <c r="I25" s="300"/>
      <c r="J25" s="300"/>
    </row>
    <row r="26" spans="1:10" s="677" customFormat="1" ht="23.25" customHeight="1">
      <c r="A26" s="332" t="s">
        <v>825</v>
      </c>
      <c r="B26" s="300"/>
      <c r="C26" s="300"/>
      <c r="D26" s="300"/>
      <c r="E26" s="300"/>
      <c r="F26" s="697" t="s">
        <v>432</v>
      </c>
      <c r="G26" s="300"/>
      <c r="H26" s="300"/>
      <c r="I26" s="300"/>
      <c r="J26" s="300"/>
    </row>
    <row r="27" spans="1:10" s="677" customFormat="1" ht="23.25" customHeight="1">
      <c r="A27" s="1909"/>
      <c r="B27" s="1910"/>
      <c r="C27" s="1910"/>
      <c r="D27" s="1910"/>
      <c r="E27" s="1910"/>
      <c r="F27" s="1910"/>
      <c r="G27" s="1910"/>
      <c r="H27" s="1910"/>
    </row>
    <row r="28" spans="1:10" s="677" customFormat="1" ht="23.25" customHeight="1">
      <c r="A28" s="530" t="s">
        <v>527</v>
      </c>
      <c r="B28" s="686">
        <f>B6+B8</f>
        <v>58</v>
      </c>
      <c r="C28" s="686"/>
      <c r="D28" s="686"/>
      <c r="E28" s="686"/>
      <c r="F28" s="778"/>
      <c r="G28" s="686">
        <f>G6+G8</f>
        <v>40</v>
      </c>
      <c r="H28" s="686">
        <f>H6+H8</f>
        <v>58</v>
      </c>
    </row>
  </sheetData>
  <protectedRanges>
    <protectedRange sqref="A9:G26 I6 I9:I26 B6:G6" name="Диапазон1_2"/>
  </protectedRanges>
  <mergeCells count="6">
    <mergeCell ref="I3:J3"/>
    <mergeCell ref="A27:H27"/>
    <mergeCell ref="A3:A4"/>
    <mergeCell ref="A1:G1"/>
    <mergeCell ref="D3:E3"/>
    <mergeCell ref="G3:H3"/>
  </mergeCells>
  <pageMargins left="0.9055118110236221" right="0" top="0.15748031496062992" bottom="0" header="0" footer="0"/>
  <pageSetup paperSize="9" scale="87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G26"/>
  <sheetViews>
    <sheetView workbookViewId="0">
      <selection sqref="A1:E1"/>
    </sheetView>
  </sheetViews>
  <sheetFormatPr defaultRowHeight="12.75"/>
  <cols>
    <col min="1" max="1" width="58.5703125" customWidth="1"/>
    <col min="2" max="2" width="9.85546875" customWidth="1"/>
    <col min="3" max="5" width="11.42578125" customWidth="1"/>
    <col min="6" max="6" width="4.42578125" customWidth="1"/>
  </cols>
  <sheetData>
    <row r="1" spans="1:7" ht="38.25" customHeight="1">
      <c r="A1" s="1913" t="s">
        <v>454</v>
      </c>
      <c r="B1" s="1913"/>
      <c r="C1" s="1913"/>
      <c r="D1" s="1913"/>
      <c r="E1" s="1913"/>
      <c r="F1" s="1020">
        <v>29</v>
      </c>
    </row>
    <row r="2" spans="1:7" ht="15.75">
      <c r="A2" s="271"/>
      <c r="B2" s="271"/>
      <c r="C2" s="271"/>
      <c r="D2" s="282" t="s">
        <v>536</v>
      </c>
      <c r="E2" s="270"/>
    </row>
    <row r="3" spans="1:7">
      <c r="A3" s="1815" t="s">
        <v>245</v>
      </c>
      <c r="B3" s="339">
        <v>2018</v>
      </c>
      <c r="C3" s="339">
        <v>2019</v>
      </c>
      <c r="D3" s="1816">
        <v>2020</v>
      </c>
      <c r="E3" s="1816"/>
    </row>
    <row r="4" spans="1:7" ht="25.5">
      <c r="A4" s="1815"/>
      <c r="B4" s="318" t="s">
        <v>514</v>
      </c>
      <c r="C4" s="318" t="s">
        <v>515</v>
      </c>
      <c r="D4" s="318" t="s">
        <v>516</v>
      </c>
      <c r="E4" s="318" t="s">
        <v>517</v>
      </c>
    </row>
    <row r="5" spans="1:7">
      <c r="A5" s="319">
        <v>1</v>
      </c>
      <c r="B5" s="320">
        <v>3</v>
      </c>
      <c r="C5" s="320">
        <v>4</v>
      </c>
      <c r="D5" s="320">
        <v>5</v>
      </c>
      <c r="E5" s="320">
        <v>6</v>
      </c>
    </row>
    <row r="6" spans="1:7" s="677" customFormat="1" ht="31.5" customHeight="1">
      <c r="A6" s="698" t="s">
        <v>537</v>
      </c>
      <c r="B6" s="300"/>
      <c r="C6" s="300"/>
      <c r="D6" s="300"/>
      <c r="E6" s="300"/>
    </row>
    <row r="7" spans="1:7" s="677" customFormat="1" ht="17.25" customHeight="1">
      <c r="A7" s="699" t="s">
        <v>538</v>
      </c>
      <c r="B7" s="300"/>
      <c r="C7" s="700"/>
      <c r="D7" s="300"/>
      <c r="E7" s="300"/>
    </row>
    <row r="8" spans="1:7" s="677" customFormat="1" ht="17.25" customHeight="1">
      <c r="A8" s="699" t="s">
        <v>539</v>
      </c>
      <c r="B8" s="300"/>
      <c r="C8" s="700"/>
      <c r="D8" s="300"/>
      <c r="E8" s="300"/>
      <c r="G8" s="1019"/>
    </row>
    <row r="9" spans="1:7" s="677" customFormat="1" ht="17.25" customHeight="1">
      <c r="A9" s="698" t="s">
        <v>540</v>
      </c>
      <c r="B9" s="701" t="s">
        <v>249</v>
      </c>
      <c r="C9" s="702"/>
      <c r="D9" s="703"/>
      <c r="E9" s="703"/>
      <c r="G9" s="1019"/>
    </row>
    <row r="10" spans="1:7" s="677" customFormat="1" ht="33.75" customHeight="1">
      <c r="A10" s="530" t="s">
        <v>541</v>
      </c>
      <c r="B10" s="300"/>
      <c r="C10" s="300"/>
      <c r="D10" s="686">
        <f>D7*2.2%+D8*D9</f>
        <v>0</v>
      </c>
      <c r="E10" s="686">
        <f>E7*2.2%+E8*E9</f>
        <v>0</v>
      </c>
    </row>
    <row r="11" spans="1:7" s="677" customFormat="1" ht="17.25" customHeight="1">
      <c r="A11" s="530" t="s">
        <v>384</v>
      </c>
      <c r="B11" s="704"/>
      <c r="C11" s="288"/>
      <c r="D11" s="705"/>
      <c r="E11" s="705"/>
    </row>
    <row r="12" spans="1:7" s="677" customFormat="1" ht="17.25" customHeight="1">
      <c r="A12" s="530" t="s">
        <v>394</v>
      </c>
      <c r="B12" s="704"/>
      <c r="C12" s="288"/>
      <c r="D12" s="705"/>
      <c r="E12" s="705"/>
    </row>
    <row r="13" spans="1:7" s="677" customFormat="1" ht="17.25" customHeight="1">
      <c r="A13" s="530" t="s">
        <v>542</v>
      </c>
      <c r="B13" s="704"/>
      <c r="C13" s="288"/>
      <c r="D13" s="705"/>
      <c r="E13" s="705"/>
    </row>
    <row r="14" spans="1:7" s="677" customFormat="1" ht="17.25" customHeight="1">
      <c r="A14" s="530" t="s">
        <v>401</v>
      </c>
      <c r="B14" s="704"/>
      <c r="C14" s="288"/>
      <c r="D14" s="705"/>
      <c r="E14" s="705"/>
    </row>
    <row r="15" spans="1:7" s="677" customFormat="1" ht="17.25" customHeight="1">
      <c r="A15" s="530" t="s">
        <v>543</v>
      </c>
      <c r="B15" s="706">
        <f>SUM(B11:B14)</f>
        <v>0</v>
      </c>
      <c r="C15" s="706">
        <f>SUM(C11:C14)</f>
        <v>0</v>
      </c>
      <c r="D15" s="706">
        <f>SUM(D11:D14)</f>
        <v>0</v>
      </c>
      <c r="E15" s="706">
        <f>SUM(E11:E14)</f>
        <v>0</v>
      </c>
    </row>
    <row r="21" spans="2:2">
      <c r="B21" s="532"/>
    </row>
    <row r="22" spans="2:2">
      <c r="B22" s="748"/>
    </row>
    <row r="23" spans="2:2">
      <c r="B23" s="749"/>
    </row>
    <row r="24" spans="2:2">
      <c r="B24" s="532"/>
    </row>
    <row r="25" spans="2:2">
      <c r="B25" s="748"/>
    </row>
    <row r="26" spans="2:2">
      <c r="B26" s="749"/>
    </row>
  </sheetData>
  <protectedRanges>
    <protectedRange sqref="D6 B11:D15 B6:B10" name="Диапазон1"/>
    <protectedRange sqref="D7:D9" name="Диапазон1_1"/>
  </protectedRanges>
  <mergeCells count="3">
    <mergeCell ref="A1:E1"/>
    <mergeCell ref="A3:A4"/>
    <mergeCell ref="D3:E3"/>
  </mergeCells>
  <pageMargins left="0.70866141732283472" right="0" top="0" bottom="0.74803149606299213" header="0" footer="0.31496062992125984"/>
  <pageSetup paperSize="9" scale="8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Q34"/>
  <sheetViews>
    <sheetView workbookViewId="0">
      <selection activeCell="O7" sqref="O7"/>
    </sheetView>
  </sheetViews>
  <sheetFormatPr defaultRowHeight="12.75"/>
  <cols>
    <col min="1" max="1" width="32.140625" customWidth="1"/>
    <col min="2" max="2" width="15.28515625" customWidth="1"/>
    <col min="3" max="3" width="14.42578125" customWidth="1"/>
    <col min="5" max="10" width="0" style="1627" hidden="1" customWidth="1"/>
    <col min="17" max="17" width="4" customWidth="1"/>
  </cols>
  <sheetData>
    <row r="1" spans="1:17" ht="88.5" customHeight="1">
      <c r="A1" s="1918" t="s">
        <v>528</v>
      </c>
      <c r="B1" s="1918"/>
      <c r="C1" s="1918"/>
      <c r="D1" s="1918"/>
      <c r="E1" s="1918"/>
      <c r="F1" s="1918"/>
      <c r="G1" s="1918"/>
      <c r="H1" s="1918"/>
      <c r="I1" s="1918"/>
      <c r="J1" s="1918"/>
      <c r="K1" s="1918"/>
      <c r="L1" s="1918"/>
      <c r="M1" s="1918"/>
      <c r="N1" s="1918"/>
      <c r="O1" s="1918"/>
      <c r="P1" s="1918"/>
      <c r="Q1" s="1020">
        <v>30</v>
      </c>
    </row>
    <row r="2" spans="1:17" ht="18.75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82"/>
      <c r="O2" s="282" t="s">
        <v>536</v>
      </c>
      <c r="P2" s="270"/>
    </row>
    <row r="3" spans="1:17" ht="12.75" customHeight="1">
      <c r="A3" s="1919" t="s">
        <v>529</v>
      </c>
      <c r="B3" s="1919" t="s">
        <v>530</v>
      </c>
      <c r="C3" s="1919" t="s">
        <v>531</v>
      </c>
      <c r="D3" s="1916" t="s">
        <v>899</v>
      </c>
      <c r="E3" s="1916"/>
      <c r="F3" s="1916"/>
      <c r="G3" s="1916"/>
      <c r="H3" s="1916"/>
      <c r="I3" s="1916"/>
      <c r="J3" s="1916"/>
      <c r="K3" s="1917"/>
      <c r="L3" s="1916" t="s">
        <v>932</v>
      </c>
      <c r="M3" s="1920" t="s">
        <v>931</v>
      </c>
      <c r="N3" s="1921"/>
      <c r="O3" s="1921"/>
      <c r="P3" s="1922"/>
    </row>
    <row r="4" spans="1:17" ht="51">
      <c r="A4" s="1919"/>
      <c r="B4" s="1919"/>
      <c r="C4" s="1919"/>
      <c r="D4" s="323" t="s">
        <v>532</v>
      </c>
      <c r="E4" s="323"/>
      <c r="F4" s="323"/>
      <c r="G4" s="323"/>
      <c r="H4" s="323"/>
      <c r="I4" s="323"/>
      <c r="J4" s="323"/>
      <c r="K4" s="323" t="s">
        <v>533</v>
      </c>
      <c r="L4" s="1916"/>
      <c r="M4" s="572" t="s">
        <v>531</v>
      </c>
      <c r="N4" s="323" t="s">
        <v>532</v>
      </c>
      <c r="O4" s="323" t="s">
        <v>534</v>
      </c>
      <c r="P4" s="323" t="s">
        <v>535</v>
      </c>
    </row>
    <row r="5" spans="1:17">
      <c r="A5" s="324">
        <v>1</v>
      </c>
      <c r="B5" s="324">
        <v>2</v>
      </c>
      <c r="C5" s="324">
        <v>3</v>
      </c>
      <c r="D5" s="324">
        <v>5</v>
      </c>
      <c r="E5" s="324"/>
      <c r="F5" s="324"/>
      <c r="G5" s="324"/>
      <c r="H5" s="324"/>
      <c r="I5" s="324"/>
      <c r="J5" s="324"/>
      <c r="K5" s="324">
        <v>6</v>
      </c>
      <c r="L5" s="324">
        <v>7</v>
      </c>
      <c r="M5" s="324"/>
      <c r="N5" s="324">
        <v>8</v>
      </c>
      <c r="O5" s="324">
        <v>9</v>
      </c>
      <c r="P5" s="325">
        <v>10</v>
      </c>
    </row>
    <row r="6" spans="1:17" s="1" customFormat="1">
      <c r="A6" s="707" t="s">
        <v>1187</v>
      </c>
      <c r="B6" s="708">
        <v>75</v>
      </c>
      <c r="C6" s="708">
        <v>25</v>
      </c>
      <c r="D6" s="920">
        <v>0.2</v>
      </c>
      <c r="E6" s="920"/>
      <c r="F6" s="920"/>
      <c r="G6" s="920"/>
      <c r="H6" s="920"/>
      <c r="I6" s="920"/>
      <c r="J6" s="920"/>
      <c r="K6" s="1048">
        <f t="shared" ref="K6:K23" si="0">B6*C6*D6/1000</f>
        <v>0.375</v>
      </c>
      <c r="L6" s="710"/>
      <c r="M6" s="710">
        <f t="shared" ref="M6:M24" si="1">C6</f>
        <v>25</v>
      </c>
      <c r="N6" s="710">
        <v>1</v>
      </c>
      <c r="O6" s="709">
        <f>B6*M6*N6/1000</f>
        <v>1.875</v>
      </c>
      <c r="P6" s="710"/>
    </row>
    <row r="7" spans="1:17" s="1" customFormat="1">
      <c r="A7" s="707" t="s">
        <v>1188</v>
      </c>
      <c r="B7" s="708">
        <v>90</v>
      </c>
      <c r="C7" s="708">
        <v>25</v>
      </c>
      <c r="D7" s="920">
        <v>0.05</v>
      </c>
      <c r="E7" s="920"/>
      <c r="F7" s="920"/>
      <c r="G7" s="920"/>
      <c r="H7" s="920"/>
      <c r="I7" s="920"/>
      <c r="J7" s="920"/>
      <c r="K7" s="1047">
        <f t="shared" si="0"/>
        <v>0.1125</v>
      </c>
      <c r="L7" s="710"/>
      <c r="M7" s="710">
        <f t="shared" si="1"/>
        <v>25</v>
      </c>
      <c r="N7" s="710">
        <v>1</v>
      </c>
      <c r="O7" s="709">
        <f t="shared" ref="O7:O32" si="2">B7*M7*N7/1000</f>
        <v>2.25</v>
      </c>
      <c r="P7" s="710"/>
    </row>
    <row r="8" spans="1:17" s="1" customFormat="1">
      <c r="A8" s="707" t="s">
        <v>1189</v>
      </c>
      <c r="B8" s="708">
        <v>135</v>
      </c>
      <c r="C8" s="708">
        <v>25</v>
      </c>
      <c r="D8" s="920">
        <v>0.05</v>
      </c>
      <c r="E8" s="920"/>
      <c r="F8" s="920"/>
      <c r="G8" s="920"/>
      <c r="H8" s="920"/>
      <c r="I8" s="920"/>
      <c r="J8" s="920"/>
      <c r="K8" s="1048">
        <f t="shared" si="0"/>
        <v>0.16875000000000001</v>
      </c>
      <c r="L8" s="710"/>
      <c r="M8" s="710">
        <f t="shared" si="1"/>
        <v>25</v>
      </c>
      <c r="N8" s="710">
        <v>1</v>
      </c>
      <c r="O8" s="709">
        <f t="shared" si="2"/>
        <v>3.375</v>
      </c>
      <c r="P8" s="710"/>
    </row>
    <row r="9" spans="1:17" s="1" customFormat="1">
      <c r="A9" s="707" t="s">
        <v>1190</v>
      </c>
      <c r="B9" s="708">
        <v>78</v>
      </c>
      <c r="C9" s="708">
        <v>25</v>
      </c>
      <c r="D9" s="920">
        <v>1</v>
      </c>
      <c r="E9" s="920"/>
      <c r="F9" s="920"/>
      <c r="G9" s="920"/>
      <c r="H9" s="920"/>
      <c r="I9" s="920"/>
      <c r="J9" s="920"/>
      <c r="K9" s="1046">
        <f t="shared" si="0"/>
        <v>1.95</v>
      </c>
      <c r="L9" s="710"/>
      <c r="M9" s="710">
        <f t="shared" si="1"/>
        <v>25</v>
      </c>
      <c r="N9" s="710">
        <v>1</v>
      </c>
      <c r="O9" s="709">
        <f t="shared" si="2"/>
        <v>1.95</v>
      </c>
      <c r="P9" s="710"/>
    </row>
    <row r="10" spans="1:17" s="1" customFormat="1">
      <c r="A10" s="707" t="s">
        <v>1191</v>
      </c>
      <c r="B10" s="708">
        <v>72.8</v>
      </c>
      <c r="C10" s="708">
        <v>10</v>
      </c>
      <c r="D10" s="920">
        <v>1</v>
      </c>
      <c r="E10" s="920"/>
      <c r="F10" s="920"/>
      <c r="G10" s="920"/>
      <c r="H10" s="920"/>
      <c r="I10" s="920"/>
      <c r="J10" s="920"/>
      <c r="K10" s="1048">
        <f t="shared" si="0"/>
        <v>0.72799999999999998</v>
      </c>
      <c r="L10" s="710"/>
      <c r="M10" s="710">
        <f t="shared" si="1"/>
        <v>10</v>
      </c>
      <c r="N10" s="710">
        <v>1</v>
      </c>
      <c r="O10" s="709">
        <f t="shared" si="2"/>
        <v>0.72799999999999998</v>
      </c>
      <c r="P10" s="710"/>
    </row>
    <row r="11" spans="1:17" s="1" customFormat="1">
      <c r="A11" s="707" t="s">
        <v>1192</v>
      </c>
      <c r="B11" s="708">
        <v>84</v>
      </c>
      <c r="C11" s="708">
        <v>10</v>
      </c>
      <c r="D11" s="920">
        <v>1</v>
      </c>
      <c r="E11" s="920"/>
      <c r="F11" s="920"/>
      <c r="G11" s="920"/>
      <c r="H11" s="920"/>
      <c r="I11" s="920"/>
      <c r="J11" s="920"/>
      <c r="K11" s="1048">
        <f t="shared" si="0"/>
        <v>0.84</v>
      </c>
      <c r="L11" s="710"/>
      <c r="M11" s="710">
        <f t="shared" si="1"/>
        <v>10</v>
      </c>
      <c r="N11" s="710">
        <v>1</v>
      </c>
      <c r="O11" s="709">
        <f t="shared" si="2"/>
        <v>0.84</v>
      </c>
      <c r="P11" s="710"/>
    </row>
    <row r="12" spans="1:17" s="1" customFormat="1">
      <c r="A12" s="707" t="s">
        <v>1193</v>
      </c>
      <c r="B12" s="708">
        <v>99</v>
      </c>
      <c r="C12" s="708">
        <v>20</v>
      </c>
      <c r="D12" s="920">
        <v>1</v>
      </c>
      <c r="E12" s="920"/>
      <c r="F12" s="920"/>
      <c r="G12" s="920"/>
      <c r="H12" s="920"/>
      <c r="I12" s="920"/>
      <c r="J12" s="920"/>
      <c r="K12" s="1048">
        <f t="shared" si="0"/>
        <v>1.98</v>
      </c>
      <c r="L12" s="710"/>
      <c r="M12" s="710">
        <f t="shared" si="1"/>
        <v>20</v>
      </c>
      <c r="N12" s="710">
        <v>1</v>
      </c>
      <c r="O12" s="709">
        <f t="shared" si="2"/>
        <v>1.98</v>
      </c>
      <c r="P12" s="710"/>
    </row>
    <row r="13" spans="1:17" s="1" customFormat="1">
      <c r="A13" s="707" t="s">
        <v>1194</v>
      </c>
      <c r="B13" s="708">
        <v>128</v>
      </c>
      <c r="C13" s="708">
        <v>32</v>
      </c>
      <c r="D13" s="920">
        <v>1</v>
      </c>
      <c r="E13" s="920"/>
      <c r="F13" s="920"/>
      <c r="G13" s="920"/>
      <c r="H13" s="920"/>
      <c r="I13" s="920"/>
      <c r="J13" s="920"/>
      <c r="K13" s="1048">
        <f t="shared" si="0"/>
        <v>4.0960000000000001</v>
      </c>
      <c r="L13" s="710"/>
      <c r="M13" s="710">
        <f t="shared" si="1"/>
        <v>32</v>
      </c>
      <c r="N13" s="710">
        <v>1</v>
      </c>
      <c r="O13" s="709">
        <f t="shared" si="2"/>
        <v>4.0960000000000001</v>
      </c>
      <c r="P13" s="710"/>
    </row>
    <row r="14" spans="1:17" s="1" customFormat="1">
      <c r="A14" s="707" t="s">
        <v>1195</v>
      </c>
      <c r="B14" s="708">
        <v>112</v>
      </c>
      <c r="C14" s="708">
        <v>32</v>
      </c>
      <c r="D14" s="920">
        <v>1</v>
      </c>
      <c r="E14" s="920"/>
      <c r="F14" s="920"/>
      <c r="G14" s="920"/>
      <c r="H14" s="920"/>
      <c r="I14" s="920"/>
      <c r="J14" s="920"/>
      <c r="K14" s="1048">
        <f t="shared" si="0"/>
        <v>3.5840000000000001</v>
      </c>
      <c r="L14" s="710"/>
      <c r="M14" s="710">
        <f t="shared" si="1"/>
        <v>32</v>
      </c>
      <c r="N14" s="710">
        <v>1</v>
      </c>
      <c r="O14" s="709">
        <f t="shared" si="2"/>
        <v>3.5840000000000001</v>
      </c>
      <c r="P14" s="710"/>
    </row>
    <row r="15" spans="1:17" s="1" customFormat="1">
      <c r="A15" s="707" t="s">
        <v>1196</v>
      </c>
      <c r="B15" s="708">
        <v>180</v>
      </c>
      <c r="C15" s="708">
        <v>40</v>
      </c>
      <c r="D15" s="920">
        <v>1</v>
      </c>
      <c r="E15" s="920"/>
      <c r="F15" s="920"/>
      <c r="G15" s="920"/>
      <c r="H15" s="920"/>
      <c r="I15" s="920"/>
      <c r="J15" s="920"/>
      <c r="K15" s="1048">
        <f t="shared" si="0"/>
        <v>7.2</v>
      </c>
      <c r="L15" s="710"/>
      <c r="M15" s="710">
        <f t="shared" si="1"/>
        <v>40</v>
      </c>
      <c r="N15" s="710">
        <v>1</v>
      </c>
      <c r="O15" s="709">
        <f t="shared" si="2"/>
        <v>7.2</v>
      </c>
      <c r="P15" s="710"/>
    </row>
    <row r="16" spans="1:17" s="1" customFormat="1">
      <c r="A16" s="707" t="s">
        <v>1197</v>
      </c>
      <c r="B16" s="708">
        <v>150</v>
      </c>
      <c r="C16" s="708">
        <v>32</v>
      </c>
      <c r="D16" s="920">
        <v>0.5</v>
      </c>
      <c r="E16" s="920"/>
      <c r="F16" s="920"/>
      <c r="G16" s="920"/>
      <c r="H16" s="920"/>
      <c r="I16" s="920"/>
      <c r="J16" s="920"/>
      <c r="K16" s="1048">
        <f t="shared" si="0"/>
        <v>2.4</v>
      </c>
      <c r="L16" s="710"/>
      <c r="M16" s="710">
        <f t="shared" si="1"/>
        <v>32</v>
      </c>
      <c r="N16" s="710">
        <v>1</v>
      </c>
      <c r="O16" s="709">
        <f t="shared" si="2"/>
        <v>4.8</v>
      </c>
      <c r="P16" s="710"/>
    </row>
    <row r="17" spans="1:16" s="1" customFormat="1">
      <c r="A17" s="707" t="s">
        <v>1198</v>
      </c>
      <c r="B17" s="708">
        <v>185</v>
      </c>
      <c r="C17" s="708">
        <v>40</v>
      </c>
      <c r="D17" s="920">
        <v>1</v>
      </c>
      <c r="E17" s="920"/>
      <c r="F17" s="920"/>
      <c r="G17" s="920"/>
      <c r="H17" s="920"/>
      <c r="I17" s="920"/>
      <c r="J17" s="920"/>
      <c r="K17" s="1048">
        <f t="shared" si="0"/>
        <v>7.4</v>
      </c>
      <c r="L17" s="710"/>
      <c r="M17" s="710">
        <f t="shared" si="1"/>
        <v>40</v>
      </c>
      <c r="N17" s="710">
        <v>1</v>
      </c>
      <c r="O17" s="709">
        <f t="shared" si="2"/>
        <v>7.4</v>
      </c>
      <c r="P17" s="710"/>
    </row>
    <row r="18" spans="1:16" s="1" customFormat="1">
      <c r="A18" s="707" t="s">
        <v>1199</v>
      </c>
      <c r="B18" s="708">
        <v>84</v>
      </c>
      <c r="C18" s="708">
        <v>10</v>
      </c>
      <c r="D18" s="920">
        <v>0.5</v>
      </c>
      <c r="E18" s="920"/>
      <c r="F18" s="920"/>
      <c r="G18" s="920"/>
      <c r="H18" s="920"/>
      <c r="I18" s="920"/>
      <c r="J18" s="920"/>
      <c r="K18" s="1048">
        <f t="shared" si="0"/>
        <v>0.42</v>
      </c>
      <c r="L18" s="710"/>
      <c r="M18" s="710">
        <f t="shared" si="1"/>
        <v>10</v>
      </c>
      <c r="N18" s="710">
        <v>1</v>
      </c>
      <c r="O18" s="709">
        <f t="shared" si="2"/>
        <v>0.84</v>
      </c>
      <c r="P18" s="710"/>
    </row>
    <row r="19" spans="1:16" s="1" customFormat="1">
      <c r="A19" s="707" t="s">
        <v>1200</v>
      </c>
      <c r="B19" s="708">
        <v>210</v>
      </c>
      <c r="C19" s="708">
        <v>60</v>
      </c>
      <c r="D19" s="920">
        <v>0.5</v>
      </c>
      <c r="E19" s="920"/>
      <c r="F19" s="920"/>
      <c r="G19" s="920"/>
      <c r="H19" s="920"/>
      <c r="I19" s="920"/>
      <c r="J19" s="920"/>
      <c r="K19" s="1048">
        <f t="shared" si="0"/>
        <v>6.3</v>
      </c>
      <c r="L19" s="710"/>
      <c r="M19" s="710">
        <f t="shared" si="1"/>
        <v>60</v>
      </c>
      <c r="N19" s="710">
        <v>1</v>
      </c>
      <c r="O19" s="709">
        <f t="shared" si="2"/>
        <v>12.6</v>
      </c>
      <c r="P19" s="710"/>
    </row>
    <row r="20" spans="1:16" s="1" customFormat="1">
      <c r="A20" s="707" t="s">
        <v>1201</v>
      </c>
      <c r="B20" s="708">
        <v>117</v>
      </c>
      <c r="C20" s="708">
        <v>32</v>
      </c>
      <c r="D20" s="920">
        <v>1</v>
      </c>
      <c r="E20" s="920"/>
      <c r="F20" s="920"/>
      <c r="G20" s="920"/>
      <c r="H20" s="920"/>
      <c r="I20" s="920"/>
      <c r="J20" s="920"/>
      <c r="K20" s="1048">
        <f t="shared" si="0"/>
        <v>3.7440000000000002</v>
      </c>
      <c r="L20" s="710"/>
      <c r="M20" s="710">
        <f t="shared" si="1"/>
        <v>32</v>
      </c>
      <c r="N20" s="710">
        <v>1</v>
      </c>
      <c r="O20" s="709">
        <f t="shared" si="2"/>
        <v>3.7440000000000002</v>
      </c>
      <c r="P20" s="710"/>
    </row>
    <row r="21" spans="1:16" s="1" customFormat="1">
      <c r="A21" s="707" t="s">
        <v>1202</v>
      </c>
      <c r="B21" s="708">
        <v>117.2</v>
      </c>
      <c r="C21" s="708">
        <v>32</v>
      </c>
      <c r="D21" s="920">
        <v>1</v>
      </c>
      <c r="E21" s="920"/>
      <c r="F21" s="920"/>
      <c r="G21" s="920"/>
      <c r="H21" s="920"/>
      <c r="I21" s="920"/>
      <c r="J21" s="920"/>
      <c r="K21" s="1048">
        <f t="shared" si="0"/>
        <v>3.7504</v>
      </c>
      <c r="L21" s="710"/>
      <c r="M21" s="710">
        <f t="shared" si="1"/>
        <v>32</v>
      </c>
      <c r="N21" s="710">
        <v>1</v>
      </c>
      <c r="O21" s="709">
        <f t="shared" si="2"/>
        <v>3.7504</v>
      </c>
      <c r="P21" s="710"/>
    </row>
    <row r="22" spans="1:16" s="1" customFormat="1">
      <c r="A22" s="707" t="s">
        <v>1203</v>
      </c>
      <c r="B22" s="708">
        <v>128</v>
      </c>
      <c r="C22" s="708">
        <v>32</v>
      </c>
      <c r="D22" s="920">
        <v>1</v>
      </c>
      <c r="E22" s="920"/>
      <c r="F22" s="920"/>
      <c r="G22" s="920"/>
      <c r="H22" s="920"/>
      <c r="I22" s="920"/>
      <c r="J22" s="920"/>
      <c r="K22" s="1048">
        <f t="shared" si="0"/>
        <v>4.0960000000000001</v>
      </c>
      <c r="L22" s="710"/>
      <c r="M22" s="710">
        <f t="shared" si="1"/>
        <v>32</v>
      </c>
      <c r="N22" s="710">
        <v>1</v>
      </c>
      <c r="O22" s="709">
        <f t="shared" si="2"/>
        <v>4.0960000000000001</v>
      </c>
      <c r="P22" s="710"/>
    </row>
    <row r="23" spans="1:16" s="1" customFormat="1">
      <c r="A23" s="707" t="s">
        <v>1215</v>
      </c>
      <c r="B23" s="708">
        <v>75</v>
      </c>
      <c r="C23" s="708">
        <v>25</v>
      </c>
      <c r="D23" s="920">
        <v>1</v>
      </c>
      <c r="E23" s="920"/>
      <c r="F23" s="920"/>
      <c r="G23" s="920"/>
      <c r="H23" s="920"/>
      <c r="I23" s="920"/>
      <c r="J23" s="920"/>
      <c r="K23" s="1048">
        <f t="shared" si="0"/>
        <v>1.875</v>
      </c>
      <c r="L23" s="710"/>
      <c r="M23" s="710">
        <f t="shared" si="1"/>
        <v>25</v>
      </c>
      <c r="N23" s="710">
        <v>1</v>
      </c>
      <c r="O23" s="709">
        <f t="shared" si="2"/>
        <v>1.875</v>
      </c>
      <c r="P23" s="710"/>
    </row>
    <row r="24" spans="1:16" s="1" customFormat="1">
      <c r="A24" s="707" t="s">
        <v>1204</v>
      </c>
      <c r="B24" s="708">
        <v>112.2</v>
      </c>
      <c r="C24" s="708">
        <v>20</v>
      </c>
      <c r="D24" s="920">
        <v>1</v>
      </c>
      <c r="E24" s="920">
        <v>1</v>
      </c>
      <c r="F24" s="920">
        <v>1</v>
      </c>
      <c r="G24" s="920">
        <v>1</v>
      </c>
      <c r="H24" s="920">
        <v>1</v>
      </c>
      <c r="I24" s="920">
        <v>1</v>
      </c>
      <c r="J24" s="920">
        <v>1</v>
      </c>
      <c r="K24" s="1048">
        <f>B24*C24*D24/1000</f>
        <v>2.2440000000000002</v>
      </c>
      <c r="L24" s="710"/>
      <c r="M24" s="710">
        <f t="shared" si="1"/>
        <v>20</v>
      </c>
      <c r="N24" s="710">
        <v>1</v>
      </c>
      <c r="O24" s="709">
        <f t="shared" si="2"/>
        <v>2.2440000000000002</v>
      </c>
      <c r="P24" s="710"/>
    </row>
    <row r="25" spans="1:16" s="1" customFormat="1">
      <c r="A25" s="1635" t="s">
        <v>1526</v>
      </c>
      <c r="B25" s="1636">
        <v>115</v>
      </c>
      <c r="C25" s="1636">
        <v>32</v>
      </c>
      <c r="D25" s="920"/>
      <c r="E25" s="920"/>
      <c r="F25" s="920"/>
      <c r="G25" s="920"/>
      <c r="H25" s="920"/>
      <c r="I25" s="920"/>
      <c r="J25" s="920"/>
      <c r="K25" s="709">
        <f t="shared" ref="K25:K32" si="3">B25*C25*D25/1000</f>
        <v>0</v>
      </c>
      <c r="L25" s="710"/>
      <c r="M25" s="710">
        <f>C25</f>
        <v>32</v>
      </c>
      <c r="N25" s="710">
        <v>1</v>
      </c>
      <c r="O25" s="709">
        <f t="shared" si="2"/>
        <v>3.68</v>
      </c>
      <c r="P25" s="710"/>
    </row>
    <row r="26" spans="1:16" s="1" customFormat="1">
      <c r="A26" s="707"/>
      <c r="B26" s="708"/>
      <c r="C26" s="708"/>
      <c r="D26" s="708"/>
      <c r="E26" s="708"/>
      <c r="F26" s="708"/>
      <c r="G26" s="708"/>
      <c r="H26" s="708"/>
      <c r="I26" s="708"/>
      <c r="J26" s="708"/>
      <c r="K26" s="709">
        <f t="shared" si="3"/>
        <v>0</v>
      </c>
      <c r="L26" s="710"/>
      <c r="M26" s="710"/>
      <c r="N26" s="710"/>
      <c r="O26" s="709">
        <f t="shared" si="2"/>
        <v>0</v>
      </c>
      <c r="P26" s="710"/>
    </row>
    <row r="27" spans="1:16" s="1" customFormat="1">
      <c r="A27" s="707"/>
      <c r="B27" s="708"/>
      <c r="C27" s="708"/>
      <c r="D27" s="708"/>
      <c r="E27" s="708"/>
      <c r="F27" s="708"/>
      <c r="G27" s="708"/>
      <c r="H27" s="708"/>
      <c r="I27" s="708"/>
      <c r="J27" s="708"/>
      <c r="K27" s="709">
        <f t="shared" si="3"/>
        <v>0</v>
      </c>
      <c r="L27" s="710"/>
      <c r="M27" s="710"/>
      <c r="N27" s="710"/>
      <c r="O27" s="709">
        <f t="shared" si="2"/>
        <v>0</v>
      </c>
      <c r="P27" s="710"/>
    </row>
    <row r="28" spans="1:16" s="1" customFormat="1">
      <c r="A28" s="707"/>
      <c r="B28" s="708"/>
      <c r="C28" s="708"/>
      <c r="D28" s="708"/>
      <c r="E28" s="708"/>
      <c r="F28" s="708"/>
      <c r="G28" s="708"/>
      <c r="H28" s="708"/>
      <c r="I28" s="708"/>
      <c r="J28" s="708"/>
      <c r="K28" s="709">
        <f t="shared" si="3"/>
        <v>0</v>
      </c>
      <c r="L28" s="710"/>
      <c r="M28" s="710"/>
      <c r="N28" s="710"/>
      <c r="O28" s="709">
        <f t="shared" si="2"/>
        <v>0</v>
      </c>
      <c r="P28" s="710"/>
    </row>
    <row r="29" spans="1:16" s="1" customFormat="1">
      <c r="A29" s="707"/>
      <c r="B29" s="708"/>
      <c r="C29" s="708"/>
      <c r="D29" s="708"/>
      <c r="E29" s="708"/>
      <c r="F29" s="708"/>
      <c r="G29" s="708"/>
      <c r="H29" s="708"/>
      <c r="I29" s="708"/>
      <c r="J29" s="708"/>
      <c r="K29" s="709">
        <f t="shared" si="3"/>
        <v>0</v>
      </c>
      <c r="L29" s="710"/>
      <c r="M29" s="710"/>
      <c r="N29" s="710"/>
      <c r="O29" s="709">
        <f t="shared" si="2"/>
        <v>0</v>
      </c>
      <c r="P29" s="710"/>
    </row>
    <row r="30" spans="1:16" s="1" customFormat="1">
      <c r="A30" s="707"/>
      <c r="B30" s="708"/>
      <c r="C30" s="708"/>
      <c r="D30" s="708"/>
      <c r="E30" s="708"/>
      <c r="F30" s="708"/>
      <c r="G30" s="708"/>
      <c r="H30" s="708"/>
      <c r="I30" s="708"/>
      <c r="J30" s="708"/>
      <c r="K30" s="709">
        <f t="shared" si="3"/>
        <v>0</v>
      </c>
      <c r="L30" s="710"/>
      <c r="M30" s="710"/>
      <c r="N30" s="710"/>
      <c r="O30" s="709">
        <f t="shared" si="2"/>
        <v>0</v>
      </c>
      <c r="P30" s="710"/>
    </row>
    <row r="31" spans="1:16" s="1" customFormat="1">
      <c r="A31" s="707"/>
      <c r="B31" s="708"/>
      <c r="C31" s="708"/>
      <c r="D31" s="708"/>
      <c r="E31" s="708"/>
      <c r="F31" s="708"/>
      <c r="G31" s="708"/>
      <c r="H31" s="708"/>
      <c r="I31" s="708"/>
      <c r="J31" s="708"/>
      <c r="K31" s="709">
        <f t="shared" si="3"/>
        <v>0</v>
      </c>
      <c r="L31" s="710"/>
      <c r="M31" s="710"/>
      <c r="N31" s="710"/>
      <c r="O31" s="709">
        <f t="shared" si="2"/>
        <v>0</v>
      </c>
      <c r="P31" s="710"/>
    </row>
    <row r="32" spans="1:16" s="1" customFormat="1">
      <c r="A32" s="707"/>
      <c r="B32" s="708"/>
      <c r="C32" s="708"/>
      <c r="D32" s="708"/>
      <c r="E32" s="708"/>
      <c r="F32" s="708"/>
      <c r="G32" s="708"/>
      <c r="H32" s="708"/>
      <c r="I32" s="708"/>
      <c r="J32" s="708"/>
      <c r="K32" s="709">
        <f t="shared" si="3"/>
        <v>0</v>
      </c>
      <c r="L32" s="710"/>
      <c r="M32" s="710"/>
      <c r="N32" s="710"/>
      <c r="O32" s="709">
        <f t="shared" si="2"/>
        <v>0</v>
      </c>
      <c r="P32" s="710"/>
    </row>
    <row r="33" spans="1:16" s="677" customFormat="1">
      <c r="A33" s="1914"/>
      <c r="B33" s="1915"/>
      <c r="C33" s="1915"/>
      <c r="D33" s="1915"/>
      <c r="E33" s="1915"/>
      <c r="F33" s="1915"/>
      <c r="G33" s="1915"/>
      <c r="H33" s="1915"/>
      <c r="I33" s="1915"/>
      <c r="J33" s="1915"/>
      <c r="K33" s="1915"/>
      <c r="L33" s="1915"/>
      <c r="M33" s="1915"/>
      <c r="N33" s="1915"/>
      <c r="O33" s="1915"/>
      <c r="P33" s="1915"/>
    </row>
    <row r="34" spans="1:16" s="677" customFormat="1">
      <c r="A34" s="530">
        <v>10</v>
      </c>
      <c r="B34" s="711" t="s">
        <v>249</v>
      </c>
      <c r="C34" s="711" t="s">
        <v>249</v>
      </c>
      <c r="D34" s="712" t="s">
        <v>249</v>
      </c>
      <c r="E34" s="712"/>
      <c r="F34" s="712"/>
      <c r="G34" s="712"/>
      <c r="H34" s="712"/>
      <c r="I34" s="712"/>
      <c r="J34" s="712"/>
      <c r="K34" s="747">
        <f>SUM(K6:K32)</f>
        <v>53.263649999999998</v>
      </c>
      <c r="L34" s="704"/>
      <c r="M34" s="701"/>
      <c r="N34" s="714" t="s">
        <v>249</v>
      </c>
      <c r="O34" s="747">
        <f>SUM(O6:O32)</f>
        <v>72.90740000000001</v>
      </c>
      <c r="P34" s="713"/>
    </row>
  </sheetData>
  <protectedRanges>
    <protectedRange sqref="L34:M34 N6:N32" name="Диапазон1_1"/>
    <protectedRange sqref="A26:A32" name="Диапазон1_1_4"/>
    <protectedRange sqref="B26:J32" name="Диапазон1_1_8"/>
    <protectedRange sqref="A6:A10" name="Диапазон1_1_2_2"/>
    <protectedRange sqref="A11:A20" name="Диапазон1_1_3_2"/>
    <protectedRange sqref="A21:A24" name="Диапазон1_1_4_2"/>
    <protectedRange sqref="D25:J25 B6:J24" name="Диапазон1_1_8_1"/>
    <protectedRange sqref="A25" name="Диапазон1_1_4_2_1"/>
    <protectedRange sqref="B25:C25" name="Диапазон1_1_8_1_1"/>
  </protectedRanges>
  <mergeCells count="8">
    <mergeCell ref="A33:P33"/>
    <mergeCell ref="D3:K3"/>
    <mergeCell ref="A1:P1"/>
    <mergeCell ref="A3:A4"/>
    <mergeCell ref="B3:B4"/>
    <mergeCell ref="C3:C4"/>
    <mergeCell ref="L3:L4"/>
    <mergeCell ref="M3:P3"/>
  </mergeCells>
  <pageMargins left="0.70866141732283472" right="0" top="0" bottom="0.74803149606299213" header="0" footer="0.31496062992125984"/>
  <pageSetup paperSize="9" scale="7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/>
  <dimension ref="A1:G12"/>
  <sheetViews>
    <sheetView workbookViewId="0">
      <selection sqref="A1:F1"/>
    </sheetView>
  </sheetViews>
  <sheetFormatPr defaultRowHeight="12.75"/>
  <cols>
    <col min="1" max="1" width="59.85546875" customWidth="1"/>
    <col min="2" max="2" width="11.140625" customWidth="1"/>
    <col min="3" max="3" width="11.140625" style="1043" customWidth="1"/>
    <col min="4" max="6" width="11.140625" customWidth="1"/>
    <col min="7" max="7" width="4.85546875" customWidth="1"/>
  </cols>
  <sheetData>
    <row r="1" spans="1:7" ht="90" customHeight="1">
      <c r="A1" s="1885" t="s">
        <v>544</v>
      </c>
      <c r="B1" s="1885"/>
      <c r="C1" s="1885"/>
      <c r="D1" s="1885"/>
      <c r="E1" s="1885"/>
      <c r="F1" s="1885"/>
      <c r="G1" s="1020">
        <v>31</v>
      </c>
    </row>
    <row r="2" spans="1:7" ht="18.75">
      <c r="A2" s="283"/>
      <c r="B2" s="278"/>
      <c r="C2" s="940"/>
      <c r="D2" s="278"/>
      <c r="E2" s="282" t="s">
        <v>550</v>
      </c>
      <c r="F2" s="271"/>
    </row>
    <row r="3" spans="1:7" s="677" customFormat="1">
      <c r="A3" s="1815" t="s">
        <v>245</v>
      </c>
      <c r="B3" s="339">
        <v>2018</v>
      </c>
      <c r="C3" s="1040">
        <v>2018</v>
      </c>
      <c r="D3" s="339">
        <v>2019</v>
      </c>
      <c r="E3" s="1816">
        <v>2020</v>
      </c>
      <c r="F3" s="1816"/>
    </row>
    <row r="4" spans="1:7" s="677" customFormat="1" ht="25.5">
      <c r="A4" s="1815"/>
      <c r="B4" s="318" t="s">
        <v>514</v>
      </c>
      <c r="C4" s="1042" t="s">
        <v>1225</v>
      </c>
      <c r="D4" s="318" t="s">
        <v>515</v>
      </c>
      <c r="E4" s="318" t="s">
        <v>516</v>
      </c>
      <c r="F4" s="318" t="s">
        <v>517</v>
      </c>
    </row>
    <row r="5" spans="1:7" s="677" customFormat="1">
      <c r="A5" s="319">
        <v>1</v>
      </c>
      <c r="B5" s="320">
        <v>3</v>
      </c>
      <c r="C5" s="320"/>
      <c r="D5" s="320">
        <v>4</v>
      </c>
      <c r="E5" s="320">
        <v>5</v>
      </c>
      <c r="F5" s="320">
        <v>6</v>
      </c>
    </row>
    <row r="6" spans="1:7" s="677" customFormat="1" ht="21" customHeight="1">
      <c r="A6" s="321" t="s">
        <v>545</v>
      </c>
      <c r="B6" s="300"/>
      <c r="C6" s="300"/>
      <c r="D6" s="694"/>
      <c r="E6" s="300"/>
      <c r="F6" s="300"/>
    </row>
    <row r="7" spans="1:7" s="677" customFormat="1" ht="21" customHeight="1">
      <c r="A7" s="321" t="s">
        <v>546</v>
      </c>
      <c r="B7" s="300"/>
      <c r="C7" s="300"/>
      <c r="D7" s="694"/>
      <c r="E7" s="300"/>
      <c r="F7" s="300"/>
    </row>
    <row r="8" spans="1:7" s="677" customFormat="1" ht="21" customHeight="1">
      <c r="A8" s="321" t="s">
        <v>547</v>
      </c>
      <c r="B8" s="300"/>
      <c r="C8" s="300"/>
      <c r="D8" s="694"/>
      <c r="E8" s="300"/>
      <c r="F8" s="300"/>
    </row>
    <row r="9" spans="1:7" s="677" customFormat="1" ht="21" customHeight="1">
      <c r="A9" s="321" t="s">
        <v>548</v>
      </c>
      <c r="B9" s="300"/>
      <c r="C9" s="300"/>
      <c r="D9" s="694"/>
      <c r="E9" s="300"/>
      <c r="F9" s="300"/>
    </row>
    <row r="10" spans="1:7" s="677" customFormat="1" ht="33" customHeight="1">
      <c r="A10" s="530" t="s">
        <v>549</v>
      </c>
      <c r="B10" s="686">
        <f>SUM(B6:B9)</f>
        <v>0</v>
      </c>
      <c r="C10" s="686">
        <v>0</v>
      </c>
      <c r="D10" s="686">
        <f>SUM(D6:D9)</f>
        <v>0</v>
      </c>
      <c r="E10" s="686">
        <f>SUM(E6:E9)</f>
        <v>0</v>
      </c>
      <c r="F10" s="686">
        <f>SUM(F6:F9)</f>
        <v>0</v>
      </c>
    </row>
    <row r="11" spans="1:7" s="677" customFormat="1"/>
    <row r="12" spans="1:7" s="677" customFormat="1"/>
  </sheetData>
  <protectedRanges>
    <protectedRange sqref="B6:E9" name="Диапазон1"/>
  </protectedRanges>
  <mergeCells count="3">
    <mergeCell ref="A1:F1"/>
    <mergeCell ref="A3:A4"/>
    <mergeCell ref="E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3">
    <pageSetUpPr fitToPage="1"/>
  </sheetPr>
  <dimension ref="A1:G10"/>
  <sheetViews>
    <sheetView workbookViewId="0"/>
  </sheetViews>
  <sheetFormatPr defaultRowHeight="12.75"/>
  <cols>
    <col min="1" max="1" width="27.7109375" customWidth="1"/>
    <col min="3" max="3" width="9.140625" style="1043"/>
    <col min="4" max="6" width="21.7109375" customWidth="1"/>
    <col min="7" max="7" width="4.140625" customWidth="1"/>
  </cols>
  <sheetData>
    <row r="1" spans="1:7" ht="78" customHeight="1">
      <c r="A1" s="450" t="s">
        <v>769</v>
      </c>
      <c r="B1" s="983"/>
      <c r="C1" s="983"/>
      <c r="D1" s="983"/>
      <c r="E1" s="983"/>
      <c r="F1" s="983"/>
      <c r="G1" s="1005">
        <v>32</v>
      </c>
    </row>
    <row r="2" spans="1:7" ht="18.75">
      <c r="A2" s="1923" t="s">
        <v>245</v>
      </c>
      <c r="B2" s="1021">
        <v>2018</v>
      </c>
      <c r="C2" s="1041">
        <v>2018</v>
      </c>
      <c r="D2" s="1021">
        <v>2019</v>
      </c>
      <c r="E2" s="1924">
        <v>2020</v>
      </c>
      <c r="F2" s="1924"/>
    </row>
    <row r="3" spans="1:7" ht="37.5">
      <c r="A3" s="1923"/>
      <c r="B3" s="1022" t="s">
        <v>514</v>
      </c>
      <c r="C3" s="1022" t="s">
        <v>1225</v>
      </c>
      <c r="D3" s="1022" t="s">
        <v>515</v>
      </c>
      <c r="E3" s="1022" t="s">
        <v>516</v>
      </c>
      <c r="F3" s="1022" t="s">
        <v>517</v>
      </c>
    </row>
    <row r="4" spans="1:7" ht="18.75">
      <c r="A4" s="1023">
        <v>1</v>
      </c>
      <c r="B4" s="1024">
        <v>3</v>
      </c>
      <c r="C4" s="1024"/>
      <c r="D4" s="1024">
        <v>4</v>
      </c>
      <c r="E4" s="1024">
        <v>5</v>
      </c>
      <c r="F4" s="1024">
        <v>6</v>
      </c>
      <c r="G4" s="1020"/>
    </row>
    <row r="5" spans="1:7" s="1" customFormat="1" ht="18.75">
      <c r="A5" s="236" t="s">
        <v>770</v>
      </c>
      <c r="B5" s="1025"/>
      <c r="C5" s="1025"/>
      <c r="D5" s="1025"/>
      <c r="E5" s="1025"/>
      <c r="F5" s="1025"/>
    </row>
    <row r="6" spans="1:7" s="1" customFormat="1" ht="37.5">
      <c r="A6" s="236" t="s">
        <v>771</v>
      </c>
      <c r="B6" s="1025"/>
      <c r="C6" s="1025"/>
      <c r="D6" s="1025"/>
      <c r="E6" s="1025"/>
      <c r="F6" s="1025"/>
    </row>
    <row r="7" spans="1:7" s="1" customFormat="1" ht="75">
      <c r="A7" s="236" t="s">
        <v>772</v>
      </c>
      <c r="B7" s="1025"/>
      <c r="C7" s="1025"/>
      <c r="D7" s="1025"/>
      <c r="E7" s="1025"/>
      <c r="F7" s="1025"/>
    </row>
    <row r="8" spans="1:7" s="521" customFormat="1" ht="18.75">
      <c r="A8" s="1026" t="s">
        <v>383</v>
      </c>
      <c r="B8" s="1027">
        <f>B5+B6+B7</f>
        <v>0</v>
      </c>
      <c r="C8" s="1027"/>
      <c r="D8" s="1027">
        <f>D5+D6+D7</f>
        <v>0</v>
      </c>
      <c r="E8" s="1027">
        <f>E5+E6+E7</f>
        <v>0</v>
      </c>
      <c r="F8" s="1027">
        <f>F5+F6+F7</f>
        <v>0</v>
      </c>
    </row>
    <row r="9" spans="1:7" s="1" customFormat="1"/>
    <row r="10" spans="1:7" s="1" customFormat="1"/>
  </sheetData>
  <mergeCells count="2">
    <mergeCell ref="A2:A3"/>
    <mergeCell ref="E2:F2"/>
  </mergeCells>
  <pageMargins left="0.9055118110236221" right="0" top="0.15748031496062992" bottom="0.74803149606299213" header="0" footer="0"/>
  <pageSetup paperSize="9" scale="88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I12"/>
  <sheetViews>
    <sheetView workbookViewId="0">
      <selection activeCell="D6" sqref="D6"/>
    </sheetView>
  </sheetViews>
  <sheetFormatPr defaultRowHeight="12.75"/>
  <cols>
    <col min="1" max="1" width="50.7109375" customWidth="1"/>
    <col min="6" max="6" width="3.85546875" customWidth="1"/>
  </cols>
  <sheetData>
    <row r="1" spans="1:9" ht="72.75" customHeight="1">
      <c r="A1" s="1885" t="s">
        <v>561</v>
      </c>
      <c r="B1" s="1885"/>
      <c r="C1" s="1885"/>
      <c r="D1" s="1885"/>
      <c r="E1" s="1885"/>
      <c r="F1" s="1020">
        <v>33</v>
      </c>
    </row>
    <row r="2" spans="1:9" ht="18.75">
      <c r="A2" s="278"/>
      <c r="B2" s="279"/>
      <c r="C2" s="279"/>
      <c r="D2" s="282" t="s">
        <v>550</v>
      </c>
      <c r="E2" s="284"/>
    </row>
    <row r="3" spans="1:9">
      <c r="A3" s="1815" t="s">
        <v>245</v>
      </c>
      <c r="B3" s="339">
        <v>2019</v>
      </c>
      <c r="C3" s="339">
        <v>2020</v>
      </c>
      <c r="D3" s="1816">
        <v>2022</v>
      </c>
      <c r="E3" s="1816"/>
    </row>
    <row r="4" spans="1:9" ht="51">
      <c r="A4" s="1815"/>
      <c r="B4" s="318" t="s">
        <v>514</v>
      </c>
      <c r="C4" s="318" t="s">
        <v>515</v>
      </c>
      <c r="D4" s="318" t="s">
        <v>516</v>
      </c>
      <c r="E4" s="318" t="s">
        <v>517</v>
      </c>
    </row>
    <row r="5" spans="1:9">
      <c r="A5" s="319">
        <v>1</v>
      </c>
      <c r="B5" s="320">
        <v>3</v>
      </c>
      <c r="C5" s="320">
        <v>4</v>
      </c>
      <c r="D5" s="320">
        <v>5</v>
      </c>
      <c r="E5" s="320">
        <v>6</v>
      </c>
    </row>
    <row r="6" spans="1:9" s="677" customFormat="1">
      <c r="A6" s="203" t="s">
        <v>1514</v>
      </c>
      <c r="B6" s="542"/>
      <c r="C6" s="542"/>
      <c r="D6" s="542">
        <f>'Другие прочие и подконтрольные '!D24*0.303</f>
        <v>124.96006637999999</v>
      </c>
      <c r="E6" s="300"/>
      <c r="F6"/>
    </row>
    <row r="7" spans="1:9" s="677" customFormat="1" ht="12" customHeight="1">
      <c r="A7" s="203" t="s">
        <v>1214</v>
      </c>
      <c r="B7" s="542"/>
      <c r="C7" s="542"/>
      <c r="D7" s="542">
        <f>'Другие прочие и подконтрольные '!D25*0.303</f>
        <v>111.21015059999999</v>
      </c>
      <c r="E7" s="300"/>
    </row>
    <row r="8" spans="1:9" s="677" customFormat="1">
      <c r="A8" s="322"/>
      <c r="B8" s="300"/>
      <c r="C8" s="694"/>
      <c r="D8" s="300"/>
      <c r="E8" s="300"/>
    </row>
    <row r="9" spans="1:9" s="677" customFormat="1">
      <c r="A9" s="322"/>
      <c r="B9" s="300"/>
      <c r="C9" s="694"/>
      <c r="D9" s="300"/>
      <c r="E9" s="300"/>
    </row>
    <row r="10" spans="1:9" s="677" customFormat="1">
      <c r="A10" s="322"/>
      <c r="B10" s="300"/>
      <c r="C10" s="694"/>
      <c r="D10" s="300"/>
      <c r="E10" s="300"/>
    </row>
    <row r="11" spans="1:9" s="677" customFormat="1">
      <c r="A11" s="1900"/>
      <c r="B11" s="1901"/>
      <c r="C11" s="1901"/>
      <c r="D11" s="1901"/>
      <c r="E11" s="1901"/>
      <c r="I11" s="1028"/>
    </row>
    <row r="12" spans="1:9" s="677" customFormat="1">
      <c r="A12" s="530" t="s">
        <v>562</v>
      </c>
      <c r="B12" s="686">
        <f>SUM(B6:B10)</f>
        <v>0</v>
      </c>
      <c r="C12" s="686">
        <f>SUM(C6:C10)</f>
        <v>0</v>
      </c>
      <c r="D12" s="686">
        <f>SUM(D6:D10)</f>
        <v>236.17021697999996</v>
      </c>
      <c r="E12" s="686">
        <f>SUM(E6:E10)</f>
        <v>0</v>
      </c>
    </row>
  </sheetData>
  <protectedRanges>
    <protectedRange sqref="D8:D10 B8:B10" name="Диапазон1"/>
    <protectedRange sqref="A8:A10" name="Диапазон1_1"/>
    <protectedRange sqref="B6:B7 D6:D7" name="Диапазон1_2"/>
    <protectedRange sqref="A6:A7" name="Диапазон1_1_1"/>
  </protectedRanges>
  <mergeCells count="4">
    <mergeCell ref="A1:E1"/>
    <mergeCell ref="A3:A4"/>
    <mergeCell ref="D3:E3"/>
    <mergeCell ref="A11:E11"/>
  </mergeCells>
  <pageMargins left="0.9055118110236221" right="0" top="0.15748031496062992" bottom="0.15748031496062992" header="0" footer="0"/>
  <pageSetup paperSize="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>
    <tabColor indexed="22"/>
    <pageSetUpPr fitToPage="1"/>
  </sheetPr>
  <dimension ref="A1:L40"/>
  <sheetViews>
    <sheetView workbookViewId="0">
      <selection activeCell="I13" sqref="I13"/>
    </sheetView>
  </sheetViews>
  <sheetFormatPr defaultColWidth="8" defaultRowHeight="12.75"/>
  <cols>
    <col min="1" max="1" width="4.28515625" style="26" customWidth="1"/>
    <col min="2" max="2" width="23.42578125" style="26" customWidth="1"/>
    <col min="3" max="3" width="18.140625" style="26" customWidth="1"/>
    <col min="4" max="4" width="16.42578125" style="26" customWidth="1"/>
    <col min="5" max="6" width="18.140625" style="26" customWidth="1"/>
    <col min="7" max="7" width="11" style="26" customWidth="1"/>
    <col min="8" max="8" width="8.42578125" style="26" customWidth="1"/>
    <col min="9" max="9" width="8.85546875" style="26" customWidth="1"/>
    <col min="10" max="10" width="9.140625" style="26" customWidth="1"/>
    <col min="11" max="11" width="9.28515625" style="26" customWidth="1"/>
    <col min="12" max="12" width="4.42578125" style="26" customWidth="1"/>
    <col min="13" max="16384" width="8" style="26"/>
  </cols>
  <sheetData>
    <row r="1" spans="1:12" ht="60" customHeight="1">
      <c r="A1" s="1"/>
      <c r="B1" s="1"/>
      <c r="C1" s="1"/>
      <c r="D1" s="1"/>
      <c r="L1" s="1029">
        <v>34</v>
      </c>
    </row>
    <row r="2" spans="1:12" s="189" customFormat="1">
      <c r="A2" s="187"/>
      <c r="B2" s="186" t="s">
        <v>1219</v>
      </c>
      <c r="C2" s="188"/>
      <c r="D2" s="188"/>
      <c r="E2" s="188"/>
      <c r="F2" s="188"/>
      <c r="G2" s="188"/>
    </row>
    <row r="3" spans="1:12" s="189" customFormat="1">
      <c r="A3" s="186"/>
      <c r="B3" s="1926"/>
      <c r="C3" s="1926"/>
      <c r="D3" s="1926"/>
      <c r="E3" s="1926"/>
      <c r="F3" s="1926"/>
      <c r="G3" s="188"/>
    </row>
    <row r="4" spans="1:12" ht="13.5" thickBot="1">
      <c r="A4" s="1"/>
      <c r="B4" s="1"/>
      <c r="C4" s="1"/>
      <c r="D4" s="1"/>
      <c r="G4" s="2" t="s">
        <v>288</v>
      </c>
      <c r="K4" s="2" t="s">
        <v>424</v>
      </c>
    </row>
    <row r="5" spans="1:12" ht="13.5" thickBot="1">
      <c r="A5" s="108" t="s">
        <v>252</v>
      </c>
      <c r="B5" s="1931" t="s">
        <v>269</v>
      </c>
      <c r="C5" s="1931"/>
      <c r="D5" s="1931"/>
      <c r="E5" s="335" t="s">
        <v>899</v>
      </c>
      <c r="F5" s="336" t="s">
        <v>900</v>
      </c>
      <c r="G5" s="337">
        <v>2020</v>
      </c>
      <c r="H5" s="337">
        <v>2021</v>
      </c>
      <c r="I5" s="337">
        <v>2022</v>
      </c>
      <c r="J5" s="338">
        <v>2023</v>
      </c>
      <c r="K5" s="338">
        <v>2024</v>
      </c>
    </row>
    <row r="6" spans="1:12" ht="26.25" customHeight="1">
      <c r="A6" s="107" t="s">
        <v>250</v>
      </c>
      <c r="B6" s="1927" t="s">
        <v>326</v>
      </c>
      <c r="C6" s="1927"/>
      <c r="D6" s="1927"/>
      <c r="E6" s="650">
        <v>24024</v>
      </c>
      <c r="F6" s="651">
        <f t="shared" ref="F6:K6" si="0">E6+E7</f>
        <v>29153</v>
      </c>
      <c r="G6" s="651">
        <f>39099</f>
        <v>39099</v>
      </c>
      <c r="H6" s="651">
        <f>39099</f>
        <v>39099</v>
      </c>
      <c r="I6" s="651">
        <f t="shared" si="0"/>
        <v>41091.525999999998</v>
      </c>
      <c r="J6" s="651">
        <f t="shared" si="0"/>
        <v>42911.525999999998</v>
      </c>
      <c r="K6" s="651">
        <f t="shared" si="0"/>
        <v>42911.525999999998</v>
      </c>
    </row>
    <row r="7" spans="1:12">
      <c r="A7" s="106" t="s">
        <v>246</v>
      </c>
      <c r="B7" s="1928" t="s">
        <v>289</v>
      </c>
      <c r="C7" s="1928"/>
      <c r="D7" s="1928"/>
      <c r="E7" s="652">
        <v>5129</v>
      </c>
      <c r="F7" s="652">
        <v>3800</v>
      </c>
      <c r="G7" s="652"/>
      <c r="H7" s="652">
        <v>1992.5260000000001</v>
      </c>
      <c r="I7" s="652">
        <v>1820</v>
      </c>
      <c r="J7" s="652"/>
      <c r="K7" s="652"/>
    </row>
    <row r="8" spans="1:12">
      <c r="A8" s="106" t="s">
        <v>251</v>
      </c>
      <c r="B8" s="1928" t="s">
        <v>290</v>
      </c>
      <c r="C8" s="1928"/>
      <c r="D8" s="1928"/>
      <c r="E8" s="652"/>
      <c r="F8" s="652"/>
      <c r="G8" s="652"/>
      <c r="H8" s="652"/>
      <c r="I8" s="652"/>
      <c r="J8" s="652"/>
      <c r="K8" s="652"/>
    </row>
    <row r="9" spans="1:12">
      <c r="A9" s="106" t="s">
        <v>253</v>
      </c>
      <c r="B9" s="1928" t="s">
        <v>434</v>
      </c>
      <c r="C9" s="1928"/>
      <c r="D9" s="1928"/>
      <c r="E9" s="653">
        <f>(E6+E7-E8+E6)/2</f>
        <v>26588.5</v>
      </c>
      <c r="F9" s="653">
        <f t="shared" ref="F9:K9" si="1">(F6+F7-F8+F6)/2</f>
        <v>31053</v>
      </c>
      <c r="G9" s="653">
        <f t="shared" si="1"/>
        <v>39099</v>
      </c>
      <c r="H9" s="653">
        <f t="shared" si="1"/>
        <v>40095.262999999999</v>
      </c>
      <c r="I9" s="653">
        <f t="shared" si="1"/>
        <v>42001.525999999998</v>
      </c>
      <c r="J9" s="653">
        <f t="shared" si="1"/>
        <v>42911.525999999998</v>
      </c>
      <c r="K9" s="653">
        <f t="shared" si="1"/>
        <v>42911.525999999998</v>
      </c>
    </row>
    <row r="10" spans="1:12" ht="13.5" thickBot="1">
      <c r="A10" s="109" t="s">
        <v>254</v>
      </c>
      <c r="B10" s="1929" t="s">
        <v>291</v>
      </c>
      <c r="C10" s="1929"/>
      <c r="D10" s="1929"/>
      <c r="E10" s="656">
        <f>E11/E9</f>
        <v>6.5366605863437205E-2</v>
      </c>
      <c r="F10" s="656">
        <f t="shared" ref="F10:K10" si="2">E10</f>
        <v>6.5366605863437205E-2</v>
      </c>
      <c r="G10" s="656">
        <f t="shared" si="2"/>
        <v>6.5366605863437205E-2</v>
      </c>
      <c r="H10" s="656">
        <f t="shared" si="2"/>
        <v>6.5366605863437205E-2</v>
      </c>
      <c r="I10" s="656">
        <f>H10</f>
        <v>6.5366605863437205E-2</v>
      </c>
      <c r="J10" s="656">
        <f t="shared" si="2"/>
        <v>6.5366605863437205E-2</v>
      </c>
      <c r="K10" s="656">
        <f t="shared" si="2"/>
        <v>6.5366605863437205E-2</v>
      </c>
    </row>
    <row r="11" spans="1:12" ht="13.5" thickBot="1">
      <c r="A11" s="108" t="s">
        <v>255</v>
      </c>
      <c r="B11" s="1930" t="s">
        <v>292</v>
      </c>
      <c r="C11" s="1930"/>
      <c r="D11" s="1930"/>
      <c r="E11" s="654">
        <v>1738</v>
      </c>
      <c r="F11" s="654">
        <f t="shared" ref="F11:K11" si="3">F9*F10</f>
        <v>2029.8292118773156</v>
      </c>
      <c r="G11" s="655">
        <f>G9*G10</f>
        <v>2555.7689226545313</v>
      </c>
      <c r="H11" s="655">
        <f>H9*H10</f>
        <v>2620.8912535118566</v>
      </c>
      <c r="I11" s="654">
        <f t="shared" si="3"/>
        <v>2745.4971957049102</v>
      </c>
      <c r="J11" s="654">
        <f t="shared" si="3"/>
        <v>2804.980807040638</v>
      </c>
      <c r="K11" s="654">
        <f t="shared" si="3"/>
        <v>2804.980807040638</v>
      </c>
    </row>
    <row r="13" spans="1:12" ht="13.5" customHeight="1"/>
    <row r="14" spans="1:12" ht="23.25" customHeight="1">
      <c r="D14" s="1925" t="s">
        <v>933</v>
      </c>
      <c r="E14" s="1925"/>
      <c r="F14" s="1925"/>
      <c r="G14" s="1925"/>
      <c r="H14" s="1925"/>
      <c r="I14" s="942"/>
      <c r="J14" s="942"/>
    </row>
    <row r="15" spans="1:12">
      <c r="D15" s="941"/>
      <c r="E15" s="941"/>
      <c r="F15" s="941"/>
      <c r="G15" s="941"/>
      <c r="H15" s="941"/>
      <c r="I15" s="941"/>
      <c r="J15" s="51" t="s">
        <v>431</v>
      </c>
    </row>
    <row r="16" spans="1:12" ht="13.5" thickBot="1">
      <c r="D16" s="105"/>
      <c r="E16" s="105"/>
      <c r="F16" s="105"/>
      <c r="G16" s="105"/>
      <c r="H16" s="105"/>
      <c r="I16" s="105"/>
      <c r="J16" s="2" t="s">
        <v>288</v>
      </c>
    </row>
    <row r="17" spans="3:10" ht="62.25" customHeight="1" thickBot="1">
      <c r="C17" s="119"/>
      <c r="D17" s="112"/>
      <c r="E17" s="103" t="s">
        <v>425</v>
      </c>
      <c r="F17" s="103" t="s">
        <v>426</v>
      </c>
      <c r="G17" s="103" t="s">
        <v>290</v>
      </c>
      <c r="H17" s="103" t="s">
        <v>427</v>
      </c>
      <c r="I17" s="104" t="s">
        <v>428</v>
      </c>
      <c r="J17" s="104" t="s">
        <v>429</v>
      </c>
    </row>
    <row r="18" spans="3:10" ht="27" customHeight="1">
      <c r="C18" s="120" t="s">
        <v>250</v>
      </c>
      <c r="D18" s="113" t="s">
        <v>435</v>
      </c>
      <c r="E18" s="544">
        <f t="shared" ref="E18:J18" si="4">E19+E24</f>
        <v>17002</v>
      </c>
      <c r="F18" s="544">
        <f t="shared" si="4"/>
        <v>600</v>
      </c>
      <c r="G18" s="544">
        <f t="shared" si="4"/>
        <v>0</v>
      </c>
      <c r="H18" s="544">
        <f t="shared" si="4"/>
        <v>17602</v>
      </c>
      <c r="I18" s="545">
        <f t="shared" si="4"/>
        <v>17302</v>
      </c>
      <c r="J18" s="546">
        <f t="shared" si="4"/>
        <v>1056</v>
      </c>
    </row>
    <row r="19" spans="3:10">
      <c r="C19" s="121" t="s">
        <v>403</v>
      </c>
      <c r="D19" s="114" t="s">
        <v>328</v>
      </c>
      <c r="E19" s="547">
        <f t="shared" ref="E19:J19" si="5">SUM(E20:E23)</f>
        <v>17002</v>
      </c>
      <c r="F19" s="547">
        <f t="shared" si="5"/>
        <v>600</v>
      </c>
      <c r="G19" s="547">
        <f t="shared" si="5"/>
        <v>0</v>
      </c>
      <c r="H19" s="547">
        <f t="shared" si="5"/>
        <v>17602</v>
      </c>
      <c r="I19" s="548">
        <f t="shared" si="5"/>
        <v>17302</v>
      </c>
      <c r="J19" s="549">
        <f t="shared" si="5"/>
        <v>1056</v>
      </c>
    </row>
    <row r="20" spans="3:10">
      <c r="C20" s="122"/>
      <c r="D20" s="115" t="s">
        <v>384</v>
      </c>
      <c r="E20" s="550"/>
      <c r="F20" s="550"/>
      <c r="G20" s="550"/>
      <c r="H20" s="551">
        <f>E20+F20-G20</f>
        <v>0</v>
      </c>
      <c r="I20" s="552">
        <f>(E20+H20)/2</f>
        <v>0</v>
      </c>
      <c r="J20" s="553"/>
    </row>
    <row r="21" spans="3:10">
      <c r="C21" s="122"/>
      <c r="D21" s="115" t="s">
        <v>394</v>
      </c>
      <c r="E21" s="550"/>
      <c r="F21" s="550"/>
      <c r="G21" s="550"/>
      <c r="H21" s="551">
        <f>E21+F21-G21</f>
        <v>0</v>
      </c>
      <c r="I21" s="552">
        <f>(E21+H21)/2</f>
        <v>0</v>
      </c>
      <c r="J21" s="553"/>
    </row>
    <row r="22" spans="3:10">
      <c r="C22" s="122"/>
      <c r="D22" s="116" t="s">
        <v>395</v>
      </c>
      <c r="E22" s="550">
        <v>2600</v>
      </c>
      <c r="F22" s="550">
        <v>300</v>
      </c>
      <c r="G22" s="550"/>
      <c r="H22" s="551">
        <f>E22+F22-G22</f>
        <v>2900</v>
      </c>
      <c r="I22" s="552">
        <f>(E22+H22)/2</f>
        <v>2750</v>
      </c>
      <c r="J22" s="553">
        <v>174</v>
      </c>
    </row>
    <row r="23" spans="3:10" ht="13.5" thickBot="1">
      <c r="C23" s="157"/>
      <c r="D23" s="158" t="s">
        <v>401</v>
      </c>
      <c r="E23" s="554">
        <v>14402</v>
      </c>
      <c r="F23" s="554">
        <v>300</v>
      </c>
      <c r="G23" s="554"/>
      <c r="H23" s="555">
        <f>E23+F23-G23</f>
        <v>14702</v>
      </c>
      <c r="I23" s="556">
        <f>(E23+H23)/2</f>
        <v>14552</v>
      </c>
      <c r="J23" s="557">
        <v>882</v>
      </c>
    </row>
    <row r="24" spans="3:10">
      <c r="C24" s="120" t="s">
        <v>404</v>
      </c>
      <c r="D24" s="118" t="s">
        <v>332</v>
      </c>
      <c r="E24" s="558">
        <f t="shared" ref="E24:J24" si="6">SUM(E25:E28)</f>
        <v>0</v>
      </c>
      <c r="F24" s="558">
        <f t="shared" si="6"/>
        <v>0</v>
      </c>
      <c r="G24" s="558">
        <f t="shared" si="6"/>
        <v>0</v>
      </c>
      <c r="H24" s="558">
        <f t="shared" si="6"/>
        <v>0</v>
      </c>
      <c r="I24" s="559">
        <f t="shared" si="6"/>
        <v>0</v>
      </c>
      <c r="J24" s="549">
        <f t="shared" si="6"/>
        <v>0</v>
      </c>
    </row>
    <row r="25" spans="3:10">
      <c r="C25" s="122"/>
      <c r="D25" s="115" t="s">
        <v>384</v>
      </c>
      <c r="E25" s="550"/>
      <c r="F25" s="550"/>
      <c r="G25" s="550"/>
      <c r="H25" s="551">
        <f>E25+F25-G25</f>
        <v>0</v>
      </c>
      <c r="I25" s="552">
        <f>(E25+H25)/2</f>
        <v>0</v>
      </c>
      <c r="J25" s="553"/>
    </row>
    <row r="26" spans="3:10">
      <c r="C26" s="122"/>
      <c r="D26" s="115" t="s">
        <v>394</v>
      </c>
      <c r="E26" s="550"/>
      <c r="F26" s="550"/>
      <c r="G26" s="550"/>
      <c r="H26" s="551">
        <f>E26+F26-G26</f>
        <v>0</v>
      </c>
      <c r="I26" s="552">
        <f>(E26+H26)/2</f>
        <v>0</v>
      </c>
      <c r="J26" s="553"/>
    </row>
    <row r="27" spans="3:10">
      <c r="C27" s="122"/>
      <c r="D27" s="116" t="s">
        <v>395</v>
      </c>
      <c r="E27" s="550"/>
      <c r="F27" s="550"/>
      <c r="G27" s="550"/>
      <c r="H27" s="551">
        <f>E27+F27-G27</f>
        <v>0</v>
      </c>
      <c r="I27" s="552">
        <f>(E27+H27)/2</f>
        <v>0</v>
      </c>
      <c r="J27" s="553"/>
    </row>
    <row r="28" spans="3:10" ht="13.5" thickBot="1">
      <c r="C28" s="123"/>
      <c r="D28" s="117" t="s">
        <v>401</v>
      </c>
      <c r="E28" s="560"/>
      <c r="F28" s="560"/>
      <c r="G28" s="560"/>
      <c r="H28" s="561">
        <f>E28+F28-G28</f>
        <v>0</v>
      </c>
      <c r="I28" s="562">
        <f>(E28+H28)/2</f>
        <v>0</v>
      </c>
      <c r="J28" s="557"/>
    </row>
    <row r="29" spans="3:10" ht="19.5" customHeight="1">
      <c r="C29" s="120" t="s">
        <v>246</v>
      </c>
      <c r="D29" s="159" t="s">
        <v>436</v>
      </c>
      <c r="E29" s="558">
        <f t="shared" ref="E29:J29" si="7">SUM(E30:E32)</f>
        <v>15951</v>
      </c>
      <c r="F29" s="558">
        <f t="shared" si="7"/>
        <v>400</v>
      </c>
      <c r="G29" s="558">
        <f t="shared" si="7"/>
        <v>0</v>
      </c>
      <c r="H29" s="558">
        <f t="shared" si="7"/>
        <v>16351</v>
      </c>
      <c r="I29" s="559">
        <f t="shared" si="7"/>
        <v>16151</v>
      </c>
      <c r="J29" s="563">
        <f t="shared" si="7"/>
        <v>1131</v>
      </c>
    </row>
    <row r="30" spans="3:10">
      <c r="C30" s="122"/>
      <c r="D30" s="115" t="s">
        <v>384</v>
      </c>
      <c r="E30" s="550"/>
      <c r="F30" s="550"/>
      <c r="G30" s="550"/>
      <c r="H30" s="551">
        <f>E30+F30-G30</f>
        <v>0</v>
      </c>
      <c r="I30" s="551">
        <f>(E30+H30)/2</f>
        <v>0</v>
      </c>
      <c r="J30" s="553"/>
    </row>
    <row r="31" spans="3:10">
      <c r="C31" s="122"/>
      <c r="D31" s="115" t="s">
        <v>394</v>
      </c>
      <c r="E31" s="550"/>
      <c r="F31" s="550"/>
      <c r="G31" s="550"/>
      <c r="H31" s="551">
        <f>E31+F31-G31</f>
        <v>0</v>
      </c>
      <c r="I31" s="551">
        <f>(E31+H31)/2</f>
        <v>0</v>
      </c>
      <c r="J31" s="553"/>
    </row>
    <row r="32" spans="3:10">
      <c r="C32" s="122"/>
      <c r="D32" s="116" t="s">
        <v>395</v>
      </c>
      <c r="E32" s="550">
        <v>15951</v>
      </c>
      <c r="F32" s="550">
        <v>400</v>
      </c>
      <c r="G32" s="550"/>
      <c r="H32" s="551">
        <f>E32+F32-G32</f>
        <v>16351</v>
      </c>
      <c r="I32" s="551">
        <f>(E32+H32)/2</f>
        <v>16151</v>
      </c>
      <c r="J32" s="553">
        <v>1131</v>
      </c>
    </row>
    <row r="33" spans="2:10" ht="13.5" thickBot="1">
      <c r="C33" s="123"/>
      <c r="D33" s="117" t="s">
        <v>401</v>
      </c>
      <c r="E33" s="564" t="s">
        <v>432</v>
      </c>
      <c r="F33" s="564" t="s">
        <v>432</v>
      </c>
      <c r="G33" s="564" t="s">
        <v>432</v>
      </c>
      <c r="H33" s="565" t="s">
        <v>432</v>
      </c>
      <c r="I33" s="565" t="s">
        <v>432</v>
      </c>
      <c r="J33" s="566" t="s">
        <v>432</v>
      </c>
    </row>
    <row r="34" spans="2:10" ht="25.5">
      <c r="C34" s="120" t="s">
        <v>251</v>
      </c>
      <c r="D34" s="113" t="s">
        <v>430</v>
      </c>
      <c r="E34" s="558">
        <f t="shared" ref="E34:J34" si="8">SUM(E35:E38)</f>
        <v>32953</v>
      </c>
      <c r="F34" s="558">
        <f t="shared" si="8"/>
        <v>1000</v>
      </c>
      <c r="G34" s="558">
        <f t="shared" si="8"/>
        <v>0</v>
      </c>
      <c r="H34" s="558">
        <f t="shared" si="8"/>
        <v>33953</v>
      </c>
      <c r="I34" s="567">
        <f t="shared" si="8"/>
        <v>33453</v>
      </c>
      <c r="J34" s="563">
        <f t="shared" si="8"/>
        <v>2187</v>
      </c>
    </row>
    <row r="35" spans="2:10">
      <c r="C35" s="121"/>
      <c r="D35" s="116" t="s">
        <v>384</v>
      </c>
      <c r="E35" s="547">
        <f t="shared" ref="E35:J36" si="9">E20+E25+E30</f>
        <v>0</v>
      </c>
      <c r="F35" s="547">
        <f t="shared" si="9"/>
        <v>0</v>
      </c>
      <c r="G35" s="547">
        <f t="shared" si="9"/>
        <v>0</v>
      </c>
      <c r="H35" s="547">
        <f t="shared" si="9"/>
        <v>0</v>
      </c>
      <c r="I35" s="568">
        <f t="shared" si="9"/>
        <v>0</v>
      </c>
      <c r="J35" s="549">
        <f t="shared" si="9"/>
        <v>0</v>
      </c>
    </row>
    <row r="36" spans="2:10">
      <c r="C36" s="121"/>
      <c r="D36" s="116" t="s">
        <v>394</v>
      </c>
      <c r="E36" s="547">
        <f t="shared" si="9"/>
        <v>0</v>
      </c>
      <c r="F36" s="547">
        <f t="shared" si="9"/>
        <v>0</v>
      </c>
      <c r="G36" s="547">
        <f t="shared" si="9"/>
        <v>0</v>
      </c>
      <c r="H36" s="547">
        <f t="shared" si="9"/>
        <v>0</v>
      </c>
      <c r="I36" s="568">
        <f t="shared" si="9"/>
        <v>0</v>
      </c>
      <c r="J36" s="549">
        <f t="shared" si="9"/>
        <v>0</v>
      </c>
    </row>
    <row r="37" spans="2:10">
      <c r="C37" s="121"/>
      <c r="D37" s="116" t="s">
        <v>395</v>
      </c>
      <c r="E37" s="547">
        <f t="shared" ref="E37:J37" si="10">E22+E27+E32</f>
        <v>18551</v>
      </c>
      <c r="F37" s="547">
        <f t="shared" si="10"/>
        <v>700</v>
      </c>
      <c r="G37" s="547">
        <f t="shared" si="10"/>
        <v>0</v>
      </c>
      <c r="H37" s="547">
        <f t="shared" si="10"/>
        <v>19251</v>
      </c>
      <c r="I37" s="568">
        <f t="shared" si="10"/>
        <v>18901</v>
      </c>
      <c r="J37" s="549">
        <f t="shared" si="10"/>
        <v>1305</v>
      </c>
    </row>
    <row r="38" spans="2:10" ht="13.5" thickBot="1">
      <c r="C38" s="125"/>
      <c r="D38" s="124" t="s">
        <v>401</v>
      </c>
      <c r="E38" s="569">
        <f t="shared" ref="E38:J38" si="11">E23+E28</f>
        <v>14402</v>
      </c>
      <c r="F38" s="569">
        <f t="shared" si="11"/>
        <v>300</v>
      </c>
      <c r="G38" s="569">
        <f t="shared" si="11"/>
        <v>0</v>
      </c>
      <c r="H38" s="569">
        <f t="shared" si="11"/>
        <v>14702</v>
      </c>
      <c r="I38" s="570">
        <f t="shared" si="11"/>
        <v>14552</v>
      </c>
      <c r="J38" s="571">
        <f t="shared" si="11"/>
        <v>882</v>
      </c>
    </row>
    <row r="40" spans="2:10">
      <c r="B40" s="51" t="s">
        <v>433</v>
      </c>
    </row>
  </sheetData>
  <mergeCells count="9">
    <mergeCell ref="D14:H14"/>
    <mergeCell ref="B3:F3"/>
    <mergeCell ref="B6:D6"/>
    <mergeCell ref="B7:D7"/>
    <mergeCell ref="B8:D8"/>
    <mergeCell ref="B9:D9"/>
    <mergeCell ref="B10:D10"/>
    <mergeCell ref="B11:D11"/>
    <mergeCell ref="B5:D5"/>
  </mergeCells>
  <phoneticPr fontId="19" type="noConversion"/>
  <pageMargins left="0.59055118110236227" right="0.27559055118110237" top="0.19685039370078741" bottom="0" header="0" footer="0"/>
  <pageSetup paperSize="9" scale="64" fitToHeight="0" orientation="portrait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>
    <tabColor rgb="FF00B0F0"/>
  </sheetPr>
  <dimension ref="A1:H12"/>
  <sheetViews>
    <sheetView workbookViewId="0">
      <selection activeCell="H14" sqref="H14"/>
    </sheetView>
  </sheetViews>
  <sheetFormatPr defaultRowHeight="12.75"/>
  <cols>
    <col min="1" max="1" width="9.5703125" customWidth="1"/>
    <col min="2" max="2" width="32.7109375" customWidth="1"/>
    <col min="3" max="3" width="12.7109375" hidden="1" customWidth="1"/>
    <col min="4" max="4" width="16.140625" customWidth="1"/>
    <col min="5" max="5" width="14.42578125" customWidth="1"/>
  </cols>
  <sheetData>
    <row r="1" spans="1:8" ht="26.25" customHeight="1">
      <c r="A1" s="1932" t="s">
        <v>778</v>
      </c>
      <c r="B1" s="1932"/>
      <c r="C1" s="1932"/>
      <c r="D1" s="1932"/>
      <c r="E1" s="1932"/>
    </row>
    <row r="3" spans="1:8" ht="25.5">
      <c r="A3" s="318" t="s">
        <v>244</v>
      </c>
      <c r="B3" s="318" t="s">
        <v>563</v>
      </c>
      <c r="C3" s="318" t="s">
        <v>779</v>
      </c>
      <c r="D3" s="318" t="s">
        <v>516</v>
      </c>
      <c r="E3" s="318" t="s">
        <v>517</v>
      </c>
    </row>
    <row r="4" spans="1:8">
      <c r="A4" s="412">
        <v>1</v>
      </c>
      <c r="B4" s="412">
        <v>2</v>
      </c>
      <c r="C4" s="412">
        <v>3</v>
      </c>
      <c r="D4" s="413">
        <v>4</v>
      </c>
      <c r="E4" s="414">
        <v>5</v>
      </c>
    </row>
    <row r="5" spans="1:8">
      <c r="A5" s="319" t="s">
        <v>250</v>
      </c>
      <c r="B5" s="415" t="s">
        <v>782</v>
      </c>
      <c r="C5" s="415"/>
      <c r="D5" s="394">
        <v>23543.0263404</v>
      </c>
      <c r="E5" s="394">
        <v>23543.026340400025</v>
      </c>
    </row>
    <row r="6" spans="1:8">
      <c r="A6" s="398" t="s">
        <v>630</v>
      </c>
      <c r="B6" s="415" t="s">
        <v>783</v>
      </c>
      <c r="C6" s="415"/>
      <c r="D6" s="394">
        <v>24909.794309199398</v>
      </c>
      <c r="E6" s="394">
        <v>24909.794309199373</v>
      </c>
      <c r="H6" s="532"/>
    </row>
    <row r="7" spans="1:8" ht="38.25">
      <c r="A7" s="398" t="s">
        <v>23</v>
      </c>
      <c r="B7" s="415" t="s">
        <v>780</v>
      </c>
      <c r="C7" s="415"/>
      <c r="D7" s="726">
        <f>1%</f>
        <v>0.01</v>
      </c>
      <c r="E7" s="726">
        <f>D7</f>
        <v>0.01</v>
      </c>
    </row>
    <row r="8" spans="1:8" ht="43.5" customHeight="1">
      <c r="A8" s="398" t="s">
        <v>631</v>
      </c>
      <c r="B8" s="415" t="s">
        <v>781</v>
      </c>
      <c r="C8" s="415"/>
      <c r="D8" s="727">
        <v>0.06</v>
      </c>
      <c r="E8" s="727">
        <v>0.06</v>
      </c>
    </row>
    <row r="9" spans="1:8">
      <c r="A9" s="398" t="s">
        <v>632</v>
      </c>
      <c r="B9" s="415" t="s">
        <v>785</v>
      </c>
      <c r="C9" s="415"/>
      <c r="D9" s="980">
        <f>'2.2'!M40</f>
        <v>1007.25848</v>
      </c>
      <c r="E9" s="727">
        <f>D9</f>
        <v>1007.25848</v>
      </c>
    </row>
    <row r="10" spans="1:8">
      <c r="A10" s="398" t="s">
        <v>47</v>
      </c>
      <c r="B10" s="415" t="s">
        <v>784</v>
      </c>
      <c r="C10" s="415"/>
      <c r="D10" s="980">
        <f>'Свод долгосрочный '!H9</f>
        <v>1013.658175</v>
      </c>
      <c r="E10" s="727">
        <f>'Свод долгосрочный '!H9</f>
        <v>1013.658175</v>
      </c>
    </row>
    <row r="11" spans="1:8">
      <c r="A11" s="398" t="s">
        <v>48</v>
      </c>
      <c r="B11" s="416" t="s">
        <v>786</v>
      </c>
      <c r="C11" s="415"/>
      <c r="D11" s="417">
        <v>0.75</v>
      </c>
      <c r="E11" s="417">
        <v>0.75</v>
      </c>
    </row>
    <row r="12" spans="1:8">
      <c r="A12" s="398"/>
      <c r="B12" s="399" t="s">
        <v>566</v>
      </c>
      <c r="C12" s="399"/>
      <c r="D12" s="400">
        <f>D5*(1-D7)*(1+D8)*(1+D11*(D10-D9)/D9)-D6</f>
        <v>-86.013602863236883</v>
      </c>
      <c r="E12" s="400">
        <f>E5*(1-E7)*(1+E8)*(1+E11*(E10-E9)/E9)-E6</f>
        <v>-86.013602863182314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9">
    <tabColor rgb="FF00B0F0"/>
  </sheetPr>
  <dimension ref="A2:G22"/>
  <sheetViews>
    <sheetView workbookViewId="0">
      <selection activeCell="F19" sqref="F19"/>
    </sheetView>
  </sheetViews>
  <sheetFormatPr defaultRowHeight="12.75" outlineLevelCol="1"/>
  <cols>
    <col min="1" max="1" width="5.85546875" customWidth="1"/>
    <col min="2" max="2" width="38.7109375" customWidth="1"/>
    <col min="3" max="3" width="13.42578125" customWidth="1"/>
    <col min="4" max="5" width="12.7109375" customWidth="1"/>
    <col min="6" max="6" width="12.5703125" customWidth="1" outlineLevel="1"/>
    <col min="7" max="7" width="12.85546875" customWidth="1" outlineLevel="1"/>
    <col min="8" max="8" width="9" customWidth="1"/>
  </cols>
  <sheetData>
    <row r="2" spans="1:7" ht="18.75">
      <c r="A2" s="1659" t="s">
        <v>1392</v>
      </c>
      <c r="B2" s="1659"/>
      <c r="C2" s="1659"/>
      <c r="D2" s="1659"/>
      <c r="E2" s="1659"/>
      <c r="F2" s="1659"/>
    </row>
    <row r="3" spans="1:7" ht="18.75">
      <c r="A3" s="277"/>
      <c r="B3" s="277"/>
      <c r="C3" s="277"/>
      <c r="D3" s="277"/>
      <c r="E3" s="277"/>
      <c r="F3" s="277"/>
    </row>
    <row r="4" spans="1:7" ht="13.5" customHeight="1">
      <c r="A4" s="1933" t="s">
        <v>244</v>
      </c>
      <c r="B4" s="1933" t="s">
        <v>563</v>
      </c>
      <c r="C4" s="1934" t="s">
        <v>516</v>
      </c>
      <c r="D4" s="1934"/>
      <c r="E4" s="1934"/>
      <c r="F4" s="1934" t="s">
        <v>517</v>
      </c>
      <c r="G4" s="1934"/>
    </row>
    <row r="5" spans="1:7" s="271" customFormat="1" ht="46.5" customHeight="1">
      <c r="A5" s="1933"/>
      <c r="B5" s="1933"/>
      <c r="C5" s="318" t="s">
        <v>1389</v>
      </c>
      <c r="D5" s="318" t="s">
        <v>1390</v>
      </c>
      <c r="E5" s="318" t="s">
        <v>564</v>
      </c>
      <c r="F5" s="318" t="s">
        <v>1391</v>
      </c>
      <c r="G5" s="318" t="s">
        <v>564</v>
      </c>
    </row>
    <row r="6" spans="1:7" s="389" customFormat="1" ht="13.5" customHeight="1">
      <c r="A6" s="319">
        <v>1</v>
      </c>
      <c r="B6" s="319">
        <v>2</v>
      </c>
      <c r="C6" s="320">
        <v>5</v>
      </c>
      <c r="D6" s="320">
        <v>6</v>
      </c>
      <c r="E6" s="320">
        <v>7</v>
      </c>
      <c r="F6" s="320">
        <v>8</v>
      </c>
      <c r="G6" s="393">
        <v>9</v>
      </c>
    </row>
    <row r="7" spans="1:7" s="389" customFormat="1" ht="13.5" customHeight="1">
      <c r="A7" s="197" t="s">
        <v>629</v>
      </c>
      <c r="B7" s="203" t="s">
        <v>88</v>
      </c>
      <c r="C7" s="394"/>
      <c r="D7" s="395"/>
      <c r="E7" s="395">
        <f>D7-C7</f>
        <v>0</v>
      </c>
      <c r="F7" s="394"/>
      <c r="G7" s="396">
        <f>F7-C7</f>
        <v>0</v>
      </c>
    </row>
    <row r="8" spans="1:7" s="271" customFormat="1" ht="16.5" customHeight="1">
      <c r="A8" s="197" t="s">
        <v>630</v>
      </c>
      <c r="B8" s="203" t="s">
        <v>89</v>
      </c>
      <c r="C8" s="394">
        <f>'Свод долгосрочный '!H48</f>
        <v>63.618986221199997</v>
      </c>
      <c r="D8" s="395">
        <f>'Смета расходов и доходов'!E28</f>
        <v>67.06</v>
      </c>
      <c r="E8" s="395">
        <f t="shared" ref="E8:E18" si="0">D8-C8</f>
        <v>3.4410137788000057</v>
      </c>
      <c r="F8" s="394">
        <f>D8</f>
        <v>67.06</v>
      </c>
      <c r="G8" s="396">
        <f>F8-C8</f>
        <v>3.4410137788000057</v>
      </c>
    </row>
    <row r="9" spans="1:7" s="271" customFormat="1" ht="16.7" customHeight="1">
      <c r="A9" s="197" t="s">
        <v>23</v>
      </c>
      <c r="B9" s="4" t="s">
        <v>487</v>
      </c>
      <c r="C9" s="394">
        <f>'Свод долгосрочный '!H49</f>
        <v>75.359380000000002</v>
      </c>
      <c r="D9" s="395">
        <f>'Смета расходов и доходов'!E29</f>
        <v>120.30000000000001</v>
      </c>
      <c r="E9" s="395">
        <f t="shared" si="0"/>
        <v>44.94062000000001</v>
      </c>
      <c r="F9" s="394">
        <f t="shared" ref="F9:F18" si="1">D9</f>
        <v>120.30000000000001</v>
      </c>
      <c r="G9" s="396">
        <f t="shared" ref="G9:G18" si="2">F9-C9</f>
        <v>44.94062000000001</v>
      </c>
    </row>
    <row r="10" spans="1:7" s="271" customFormat="1" ht="15.75" customHeight="1">
      <c r="A10" s="197" t="s">
        <v>631</v>
      </c>
      <c r="B10" s="203" t="s">
        <v>596</v>
      </c>
      <c r="C10" s="394">
        <f>'Свод долгосрочный '!H50</f>
        <v>339.41999999999996</v>
      </c>
      <c r="D10" s="395">
        <f>C10</f>
        <v>339.41999999999996</v>
      </c>
      <c r="E10" s="395">
        <f t="shared" si="0"/>
        <v>0</v>
      </c>
      <c r="F10" s="394">
        <f t="shared" si="1"/>
        <v>339.41999999999996</v>
      </c>
      <c r="G10" s="396">
        <f>F10-C10</f>
        <v>0</v>
      </c>
    </row>
    <row r="11" spans="1:7" s="271" customFormat="1" ht="15" customHeight="1">
      <c r="A11" s="197" t="s">
        <v>632</v>
      </c>
      <c r="B11" s="4" t="s">
        <v>92</v>
      </c>
      <c r="C11" s="394">
        <f>'Свод долгосрочный '!H52</f>
        <v>39.695810759252197</v>
      </c>
      <c r="D11" s="395">
        <f>'Сводная 2020'!BV45</f>
        <v>58</v>
      </c>
      <c r="E11" s="395">
        <f t="shared" si="0"/>
        <v>18.304189240747803</v>
      </c>
      <c r="F11" s="394">
        <f t="shared" si="1"/>
        <v>58</v>
      </c>
      <c r="G11" s="396">
        <f t="shared" si="2"/>
        <v>18.304189240747803</v>
      </c>
    </row>
    <row r="12" spans="1:7" s="271" customFormat="1" ht="15" customHeight="1">
      <c r="A12" s="197" t="s">
        <v>47</v>
      </c>
      <c r="B12" s="203" t="s">
        <v>94</v>
      </c>
      <c r="C12" s="394"/>
      <c r="D12" s="395"/>
      <c r="E12" s="395">
        <f t="shared" si="0"/>
        <v>0</v>
      </c>
      <c r="F12" s="394">
        <f t="shared" si="1"/>
        <v>0</v>
      </c>
      <c r="G12" s="396">
        <f t="shared" si="2"/>
        <v>0</v>
      </c>
    </row>
    <row r="13" spans="1:7" s="271" customFormat="1" ht="15" customHeight="1">
      <c r="A13" s="197" t="s">
        <v>48</v>
      </c>
      <c r="B13" s="203" t="s">
        <v>96</v>
      </c>
      <c r="C13" s="394">
        <f>'Свод долгосрочный '!H58</f>
        <v>53.263649999999998</v>
      </c>
      <c r="D13" s="395">
        <f>'Сводная 2020'!BV46</f>
        <v>69.227400000000003</v>
      </c>
      <c r="E13" s="395">
        <f t="shared" si="0"/>
        <v>15.963750000000005</v>
      </c>
      <c r="F13" s="394">
        <f t="shared" si="1"/>
        <v>69.227400000000003</v>
      </c>
      <c r="G13" s="396">
        <f t="shared" si="2"/>
        <v>15.963750000000005</v>
      </c>
    </row>
    <row r="14" spans="1:7" s="271" customFormat="1" ht="15" customHeight="1">
      <c r="A14" s="197" t="s">
        <v>49</v>
      </c>
      <c r="B14" s="203" t="s">
        <v>97</v>
      </c>
      <c r="C14" s="394">
        <f>'Свод долгосрочный '!H59</f>
        <v>5002.6201830088985</v>
      </c>
      <c r="D14" s="395">
        <f>'Сводная 2020'!BV43</f>
        <v>3859.5230999999999</v>
      </c>
      <c r="E14" s="395">
        <f t="shared" si="0"/>
        <v>-1143.0970830088986</v>
      </c>
      <c r="F14" s="394">
        <f t="shared" si="1"/>
        <v>3859.5230999999999</v>
      </c>
      <c r="G14" s="396">
        <f t="shared" si="2"/>
        <v>-1143.0970830088986</v>
      </c>
    </row>
    <row r="15" spans="1:7" s="271" customFormat="1" ht="15" customHeight="1">
      <c r="A15" s="197" t="s">
        <v>633</v>
      </c>
      <c r="B15" s="203" t="s">
        <v>101</v>
      </c>
      <c r="C15" s="394">
        <f>'Свод долгосрочный '!H61</f>
        <v>1181.9769858832506</v>
      </c>
      <c r="D15" s="395">
        <f>'Сводная 2020'!BV48</f>
        <v>1707</v>
      </c>
      <c r="E15" s="395">
        <f t="shared" si="0"/>
        <v>525.02301411674944</v>
      </c>
      <c r="F15" s="394">
        <f t="shared" si="1"/>
        <v>1707</v>
      </c>
      <c r="G15" s="396">
        <f t="shared" si="2"/>
        <v>525.02301411674944</v>
      </c>
    </row>
    <row r="16" spans="1:7" s="271" customFormat="1" ht="41.25" customHeight="1">
      <c r="A16" s="197" t="s">
        <v>314</v>
      </c>
      <c r="B16" s="397" t="s">
        <v>565</v>
      </c>
      <c r="C16" s="394"/>
      <c r="D16" s="395"/>
      <c r="E16" s="395">
        <f t="shared" si="0"/>
        <v>0</v>
      </c>
      <c r="F16" s="394">
        <f t="shared" si="1"/>
        <v>0</v>
      </c>
      <c r="G16" s="396">
        <f t="shared" si="2"/>
        <v>0</v>
      </c>
    </row>
    <row r="17" spans="1:7" s="271" customFormat="1" ht="15" customHeight="1">
      <c r="A17" s="197" t="s">
        <v>317</v>
      </c>
      <c r="B17" s="203" t="s">
        <v>98</v>
      </c>
      <c r="C17" s="394"/>
      <c r="D17" s="395"/>
      <c r="E17" s="395">
        <f t="shared" si="0"/>
        <v>0</v>
      </c>
      <c r="F17" s="394">
        <f t="shared" si="1"/>
        <v>0</v>
      </c>
      <c r="G17" s="396">
        <f t="shared" si="2"/>
        <v>0</v>
      </c>
    </row>
    <row r="18" spans="1:7" s="271" customFormat="1" ht="15" customHeight="1">
      <c r="A18" s="197" t="s">
        <v>1224</v>
      </c>
      <c r="B18" s="203" t="s">
        <v>429</v>
      </c>
      <c r="C18" s="394">
        <f>'Свод долгосрочный '!H63</f>
        <v>1821.0904267035057</v>
      </c>
      <c r="D18" s="395">
        <f>'Сводная 2020'!BV41</f>
        <v>1839.1</v>
      </c>
      <c r="E18" s="395">
        <f t="shared" si="0"/>
        <v>18.009573296494182</v>
      </c>
      <c r="F18" s="394">
        <f t="shared" si="1"/>
        <v>1839.1</v>
      </c>
      <c r="G18" s="396">
        <f t="shared" si="2"/>
        <v>18.009573296494182</v>
      </c>
    </row>
    <row r="19" spans="1:7" s="271" customFormat="1" ht="21.75" customHeight="1">
      <c r="A19" s="398"/>
      <c r="B19" s="399" t="s">
        <v>566</v>
      </c>
      <c r="C19" s="400">
        <f>SUM(C7:C18)</f>
        <v>8577.0454225761059</v>
      </c>
      <c r="D19" s="400">
        <f>SUM(D7:D18)</f>
        <v>8059.6304999999993</v>
      </c>
      <c r="E19" s="400">
        <f>SUM(E7:E18)</f>
        <v>-517.41492257610707</v>
      </c>
      <c r="F19" s="400">
        <f>SUM(F7:F17)</f>
        <v>6220.5304999999998</v>
      </c>
      <c r="G19" s="400">
        <f>SUM(G7:G18)</f>
        <v>-517.41492257610707</v>
      </c>
    </row>
    <row r="21" spans="1:7" ht="15" customHeight="1">
      <c r="C21" s="533"/>
    </row>
    <row r="22" spans="1:7">
      <c r="C22" s="532"/>
    </row>
  </sheetData>
  <mergeCells count="5">
    <mergeCell ref="A2:F2"/>
    <mergeCell ref="A4:A5"/>
    <mergeCell ref="B4:B5"/>
    <mergeCell ref="C4:E4"/>
    <mergeCell ref="F4:G4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11">
    <tabColor rgb="FF00B0F0"/>
  </sheetPr>
  <dimension ref="A1:L94"/>
  <sheetViews>
    <sheetView topLeftCell="A46" workbookViewId="0">
      <selection activeCell="B45" sqref="B45"/>
    </sheetView>
  </sheetViews>
  <sheetFormatPr defaultRowHeight="12.75" outlineLevelCol="1"/>
  <cols>
    <col min="1" max="1" width="18.5703125" style="1" customWidth="1"/>
    <col min="2" max="2" width="11.140625" style="1" customWidth="1"/>
    <col min="3" max="3" width="12.7109375" style="1" customWidth="1"/>
    <col min="4" max="4" width="11.7109375" style="1" customWidth="1"/>
    <col min="5" max="5" width="14.28515625" style="1" customWidth="1"/>
    <col min="6" max="6" width="13.28515625" style="1" customWidth="1"/>
    <col min="7" max="7" width="11.42578125" style="1" customWidth="1"/>
    <col min="8" max="8" width="12.7109375" style="1" customWidth="1" outlineLevel="1"/>
    <col min="9" max="16384" width="9.140625" style="1"/>
  </cols>
  <sheetData>
    <row r="1" spans="1:8" s="271" customFormat="1" ht="57.75" customHeight="1">
      <c r="A1" s="1936" t="s">
        <v>1370</v>
      </c>
      <c r="B1" s="1936"/>
      <c r="C1" s="1936"/>
      <c r="D1" s="1936"/>
      <c r="E1" s="1936"/>
      <c r="F1" s="1936"/>
      <c r="G1" s="1936"/>
      <c r="H1" s="1936"/>
    </row>
    <row r="2" spans="1:8" ht="72.75" customHeight="1">
      <c r="A2" s="1937" t="s">
        <v>607</v>
      </c>
      <c r="B2" s="1937" t="s">
        <v>608</v>
      </c>
      <c r="C2" s="1937"/>
      <c r="D2" s="1937" t="s">
        <v>634</v>
      </c>
      <c r="E2" s="1937" t="s">
        <v>609</v>
      </c>
      <c r="F2" s="1937"/>
      <c r="G2" s="1937" t="s">
        <v>610</v>
      </c>
      <c r="H2" s="1937"/>
    </row>
    <row r="3" spans="1:8" s="390" customFormat="1" ht="38.25">
      <c r="A3" s="1937"/>
      <c r="B3" s="401" t="s">
        <v>611</v>
      </c>
      <c r="C3" s="401" t="s">
        <v>514</v>
      </c>
      <c r="D3" s="1937"/>
      <c r="E3" s="401" t="s">
        <v>612</v>
      </c>
      <c r="F3" s="401" t="s">
        <v>613</v>
      </c>
      <c r="G3" s="318" t="s">
        <v>516</v>
      </c>
      <c r="H3" s="318" t="s">
        <v>517</v>
      </c>
    </row>
    <row r="4" spans="1:8" s="391" customFormat="1" ht="9">
      <c r="A4" s="402" t="s">
        <v>270</v>
      </c>
      <c r="B4" s="402" t="s">
        <v>455</v>
      </c>
      <c r="C4" s="402" t="s">
        <v>455</v>
      </c>
      <c r="D4" s="402" t="s">
        <v>283</v>
      </c>
      <c r="E4" s="402" t="s">
        <v>614</v>
      </c>
      <c r="F4" s="402" t="s">
        <v>614</v>
      </c>
      <c r="G4" s="402" t="s">
        <v>295</v>
      </c>
      <c r="H4" s="402" t="s">
        <v>295</v>
      </c>
    </row>
    <row r="5" spans="1:8" hidden="1">
      <c r="A5" s="403" t="s">
        <v>615</v>
      </c>
      <c r="B5" s="403"/>
      <c r="C5" s="403"/>
      <c r="D5" s="403"/>
      <c r="E5" s="403"/>
      <c r="F5" s="403"/>
      <c r="G5" s="403"/>
      <c r="H5" s="22"/>
    </row>
    <row r="6" spans="1:8" hidden="1">
      <c r="A6" s="404" t="s">
        <v>616</v>
      </c>
      <c r="B6" s="405"/>
      <c r="C6" s="406"/>
      <c r="D6" s="406"/>
      <c r="E6" s="407">
        <f>C6</f>
        <v>0</v>
      </c>
      <c r="F6" s="406"/>
      <c r="G6" s="408" t="s">
        <v>249</v>
      </c>
      <c r="H6" s="22"/>
    </row>
    <row r="7" spans="1:8" hidden="1">
      <c r="A7" s="404" t="s">
        <v>617</v>
      </c>
      <c r="B7" s="405"/>
      <c r="C7" s="406"/>
      <c r="D7" s="406"/>
      <c r="E7" s="407">
        <f t="shared" ref="E7:E17" si="0">C7</f>
        <v>0</v>
      </c>
      <c r="F7" s="406"/>
      <c r="G7" s="408" t="s">
        <v>249</v>
      </c>
      <c r="H7" s="22"/>
    </row>
    <row r="8" spans="1:8" hidden="1">
      <c r="A8" s="404" t="s">
        <v>618</v>
      </c>
      <c r="B8" s="405"/>
      <c r="C8" s="406"/>
      <c r="D8" s="406"/>
      <c r="E8" s="407">
        <f t="shared" si="0"/>
        <v>0</v>
      </c>
      <c r="F8" s="406"/>
      <c r="G8" s="408" t="s">
        <v>249</v>
      </c>
      <c r="H8" s="22"/>
    </row>
    <row r="9" spans="1:8" hidden="1">
      <c r="A9" s="404" t="s">
        <v>619</v>
      </c>
      <c r="B9" s="405"/>
      <c r="C9" s="406"/>
      <c r="D9" s="406"/>
      <c r="E9" s="407">
        <f t="shared" si="0"/>
        <v>0</v>
      </c>
      <c r="F9" s="406"/>
      <c r="G9" s="408" t="s">
        <v>249</v>
      </c>
      <c r="H9" s="22"/>
    </row>
    <row r="10" spans="1:8" hidden="1">
      <c r="A10" s="404" t="s">
        <v>620</v>
      </c>
      <c r="B10" s="405"/>
      <c r="C10" s="406"/>
      <c r="D10" s="406"/>
      <c r="E10" s="407">
        <f t="shared" si="0"/>
        <v>0</v>
      </c>
      <c r="F10" s="406"/>
      <c r="G10" s="408" t="s">
        <v>249</v>
      </c>
      <c r="H10" s="22"/>
    </row>
    <row r="11" spans="1:8" hidden="1">
      <c r="A11" s="404" t="s">
        <v>621</v>
      </c>
      <c r="B11" s="405"/>
      <c r="C11" s="406"/>
      <c r="D11" s="406"/>
      <c r="E11" s="407">
        <f t="shared" si="0"/>
        <v>0</v>
      </c>
      <c r="F11" s="406"/>
      <c r="G11" s="408" t="s">
        <v>249</v>
      </c>
      <c r="H11" s="22"/>
    </row>
    <row r="12" spans="1:8" hidden="1">
      <c r="A12" s="404" t="s">
        <v>622</v>
      </c>
      <c r="B12" s="405"/>
      <c r="C12" s="406"/>
      <c r="D12" s="406"/>
      <c r="E12" s="407">
        <f t="shared" si="0"/>
        <v>0</v>
      </c>
      <c r="F12" s="406"/>
      <c r="G12" s="408" t="s">
        <v>249</v>
      </c>
      <c r="H12" s="22"/>
    </row>
    <row r="13" spans="1:8" hidden="1">
      <c r="A13" s="404" t="s">
        <v>623</v>
      </c>
      <c r="B13" s="405"/>
      <c r="C13" s="406"/>
      <c r="D13" s="406"/>
      <c r="E13" s="407">
        <f t="shared" si="0"/>
        <v>0</v>
      </c>
      <c r="F13" s="406"/>
      <c r="G13" s="408" t="s">
        <v>249</v>
      </c>
      <c r="H13" s="22"/>
    </row>
    <row r="14" spans="1:8" hidden="1">
      <c r="A14" s="404" t="s">
        <v>624</v>
      </c>
      <c r="B14" s="405"/>
      <c r="C14" s="406"/>
      <c r="D14" s="406"/>
      <c r="E14" s="407">
        <f t="shared" si="0"/>
        <v>0</v>
      </c>
      <c r="F14" s="406"/>
      <c r="G14" s="408" t="s">
        <v>249</v>
      </c>
      <c r="H14" s="22"/>
    </row>
    <row r="15" spans="1:8" hidden="1">
      <c r="A15" s="404" t="s">
        <v>625</v>
      </c>
      <c r="B15" s="405"/>
      <c r="C15" s="406"/>
      <c r="D15" s="406"/>
      <c r="E15" s="407">
        <f t="shared" si="0"/>
        <v>0</v>
      </c>
      <c r="F15" s="406"/>
      <c r="G15" s="408" t="s">
        <v>249</v>
      </c>
      <c r="H15" s="22"/>
    </row>
    <row r="16" spans="1:8" hidden="1">
      <c r="A16" s="404" t="s">
        <v>626</v>
      </c>
      <c r="B16" s="405"/>
      <c r="C16" s="406"/>
      <c r="D16" s="406"/>
      <c r="E16" s="407">
        <f t="shared" si="0"/>
        <v>0</v>
      </c>
      <c r="F16" s="406"/>
      <c r="G16" s="408" t="s">
        <v>249</v>
      </c>
      <c r="H16" s="22"/>
    </row>
    <row r="17" spans="1:8" hidden="1">
      <c r="A17" s="404" t="s">
        <v>627</v>
      </c>
      <c r="B17" s="405"/>
      <c r="C17" s="406"/>
      <c r="D17" s="406"/>
      <c r="E17" s="407">
        <f t="shared" si="0"/>
        <v>0</v>
      </c>
      <c r="F17" s="406"/>
      <c r="G17" s="408" t="s">
        <v>249</v>
      </c>
      <c r="H17" s="22"/>
    </row>
    <row r="18" spans="1:8" hidden="1">
      <c r="A18" s="409" t="s">
        <v>628</v>
      </c>
      <c r="B18" s="410">
        <f>SUM(B6:B17)</f>
        <v>0</v>
      </c>
      <c r="C18" s="410"/>
      <c r="D18" s="410"/>
      <c r="E18" s="410"/>
      <c r="F18" s="410"/>
      <c r="G18" s="411" t="e">
        <f>IF(#REF!&gt;#REF!,#REF!-#REF!,IF(#REF!&gt;#REF!,(#REF!/#REF!-E17/1000)*#REF!,#REF!-#REF!))</f>
        <v>#REF!</v>
      </c>
      <c r="H18" s="22"/>
    </row>
    <row r="19" spans="1:8">
      <c r="A19" s="404" t="s">
        <v>616</v>
      </c>
      <c r="B19" s="419">
        <v>2867</v>
      </c>
      <c r="C19" s="420">
        <v>2957.1394100000002</v>
      </c>
      <c r="D19" s="421">
        <v>0.16769999999999999</v>
      </c>
      <c r="E19" s="921">
        <v>2803.6217040000001</v>
      </c>
      <c r="F19" s="921">
        <v>3104.0279999999998</v>
      </c>
      <c r="G19" s="423">
        <f>(C19-B19)*D19*F19+B19*(F19-E19)*D19</f>
        <v>191355.77930252792</v>
      </c>
      <c r="H19" s="422">
        <f>(C19-B19)*D19*F19+B19*(F19-E19)*D19</f>
        <v>191355.77930252792</v>
      </c>
    </row>
    <row r="20" spans="1:8">
      <c r="A20" s="404" t="s">
        <v>617</v>
      </c>
      <c r="B20" s="419">
        <v>2309</v>
      </c>
      <c r="C20" s="420">
        <v>2651.0309600000001</v>
      </c>
      <c r="D20" s="418">
        <f>D19</f>
        <v>0.16769999999999999</v>
      </c>
      <c r="E20" s="921">
        <v>2803.6217040000001</v>
      </c>
      <c r="F20" s="921">
        <v>3364.5</v>
      </c>
      <c r="G20" s="423">
        <f>(C20-B20)*D20*F20+B20*(F20-E20)*D20</f>
        <v>410165.88391939679</v>
      </c>
      <c r="H20" s="422">
        <f t="shared" ref="H20:H30" si="1">G20</f>
        <v>410165.88391939679</v>
      </c>
    </row>
    <row r="21" spans="1:8">
      <c r="A21" s="404" t="s">
        <v>618</v>
      </c>
      <c r="B21" s="419">
        <v>2432</v>
      </c>
      <c r="C21" s="420">
        <v>2728.361633</v>
      </c>
      <c r="D21" s="418">
        <f t="shared" ref="D21:D30" si="2">D20</f>
        <v>0.16769999999999999</v>
      </c>
      <c r="E21" s="921">
        <v>2803.6217040000001</v>
      </c>
      <c r="F21" s="921">
        <v>3251.7719999999999</v>
      </c>
      <c r="G21" s="423">
        <f t="shared" ref="G21:G30" si="3">(C21-B21)*D21*F21+B21*(F21-E21)*D21</f>
        <v>344389.05203521275</v>
      </c>
      <c r="H21" s="422">
        <f t="shared" si="1"/>
        <v>344389.05203521275</v>
      </c>
    </row>
    <row r="22" spans="1:8">
      <c r="A22" s="404" t="s">
        <v>619</v>
      </c>
      <c r="B22" s="419">
        <v>2130</v>
      </c>
      <c r="C22" s="420">
        <v>2289.5446670000001</v>
      </c>
      <c r="D22" s="418">
        <f t="shared" si="2"/>
        <v>0.16769999999999999</v>
      </c>
      <c r="E22" s="921">
        <v>2803.6217040000001</v>
      </c>
      <c r="F22" s="921">
        <v>3473.0279999999998</v>
      </c>
      <c r="G22" s="423">
        <f t="shared" si="3"/>
        <v>332035.68749337498</v>
      </c>
      <c r="H22" s="422">
        <f t="shared" si="1"/>
        <v>332035.68749337498</v>
      </c>
    </row>
    <row r="23" spans="1:8">
      <c r="A23" s="404" t="s">
        <v>620</v>
      </c>
      <c r="B23" s="419">
        <v>2089</v>
      </c>
      <c r="C23" s="420">
        <v>2056.380881</v>
      </c>
      <c r="D23" s="418">
        <f t="shared" si="2"/>
        <v>0.16769999999999999</v>
      </c>
      <c r="E23" s="921">
        <v>2803.6217040000001</v>
      </c>
      <c r="F23" s="921">
        <v>3081.4679999999998</v>
      </c>
      <c r="G23" s="423">
        <f t="shared" si="3"/>
        <v>80480.259838540471</v>
      </c>
      <c r="H23" s="422">
        <f t="shared" si="1"/>
        <v>80480.259838540471</v>
      </c>
    </row>
    <row r="24" spans="1:8">
      <c r="A24" s="404" t="s">
        <v>621</v>
      </c>
      <c r="B24" s="419">
        <v>1874</v>
      </c>
      <c r="C24" s="420">
        <v>1884.6812890000001</v>
      </c>
      <c r="D24" s="418">
        <f t="shared" si="2"/>
        <v>0.16769999999999999</v>
      </c>
      <c r="E24" s="921">
        <v>2803.6217040000001</v>
      </c>
      <c r="F24" s="921">
        <v>3210.0120000000002</v>
      </c>
      <c r="G24" s="423">
        <f t="shared" si="3"/>
        <v>133466.13799149985</v>
      </c>
      <c r="H24" s="422">
        <f t="shared" si="1"/>
        <v>133466.13799149985</v>
      </c>
    </row>
    <row r="25" spans="1:8">
      <c r="A25" s="404" t="s">
        <v>622</v>
      </c>
      <c r="B25" s="419">
        <v>1984</v>
      </c>
      <c r="C25" s="420">
        <v>2153.4691379999999</v>
      </c>
      <c r="D25" s="418">
        <f t="shared" si="2"/>
        <v>0.16769999999999999</v>
      </c>
      <c r="E25" s="921">
        <v>3325.343773841797</v>
      </c>
      <c r="F25" s="921">
        <v>3518.5320000000002</v>
      </c>
      <c r="G25" s="423">
        <f t="shared" si="3"/>
        <v>164273.55792050387</v>
      </c>
      <c r="H25" s="422">
        <f t="shared" si="1"/>
        <v>164273.55792050387</v>
      </c>
    </row>
    <row r="26" spans="1:8" ht="12" customHeight="1">
      <c r="A26" s="404" t="s">
        <v>623</v>
      </c>
      <c r="B26" s="419">
        <v>2013</v>
      </c>
      <c r="C26" s="420">
        <v>2196.3229200000001</v>
      </c>
      <c r="D26" s="418">
        <f t="shared" si="2"/>
        <v>0.16769999999999999</v>
      </c>
      <c r="E26" s="921">
        <v>3325.343773841797</v>
      </c>
      <c r="F26" s="921">
        <v>3673.0439999999999</v>
      </c>
      <c r="G26" s="423">
        <f t="shared" si="3"/>
        <v>230298.00060100289</v>
      </c>
      <c r="H26" s="422">
        <f t="shared" si="1"/>
        <v>230298.00060100289</v>
      </c>
    </row>
    <row r="27" spans="1:8">
      <c r="A27" s="404" t="s">
        <v>624</v>
      </c>
      <c r="B27" s="419">
        <v>2010</v>
      </c>
      <c r="C27" s="420">
        <v>2196.3229200000001</v>
      </c>
      <c r="D27" s="418">
        <f t="shared" si="2"/>
        <v>0.16769999999999999</v>
      </c>
      <c r="E27" s="921">
        <v>3325.343773841797</v>
      </c>
      <c r="F27" s="921">
        <v>3837.444</v>
      </c>
      <c r="G27" s="423">
        <f t="shared" si="3"/>
        <v>292523.34039927227</v>
      </c>
      <c r="H27" s="422">
        <f t="shared" si="1"/>
        <v>292523.34039927227</v>
      </c>
    </row>
    <row r="28" spans="1:8">
      <c r="A28" s="404" t="s">
        <v>625</v>
      </c>
      <c r="B28" s="419">
        <v>2285</v>
      </c>
      <c r="C28" s="420">
        <v>2485.5945200000001</v>
      </c>
      <c r="D28" s="418">
        <f t="shared" si="2"/>
        <v>0.16769999999999999</v>
      </c>
      <c r="E28" s="921">
        <v>3325.343773841797</v>
      </c>
      <c r="F28" s="921">
        <v>3716.22</v>
      </c>
      <c r="G28" s="423">
        <f t="shared" si="3"/>
        <v>274794.1497096644</v>
      </c>
      <c r="H28" s="422">
        <f t="shared" si="1"/>
        <v>274794.1497096644</v>
      </c>
    </row>
    <row r="29" spans="1:8">
      <c r="A29" s="404" t="s">
        <v>626</v>
      </c>
      <c r="B29" s="419">
        <v>2529</v>
      </c>
      <c r="C29" s="420">
        <v>2675.973</v>
      </c>
      <c r="D29" s="418">
        <f t="shared" si="2"/>
        <v>0.16769999999999999</v>
      </c>
      <c r="E29" s="921">
        <v>3325.343773841797</v>
      </c>
      <c r="F29" s="921">
        <v>3489.3960000000002</v>
      </c>
      <c r="G29" s="423">
        <f t="shared" si="3"/>
        <v>155581.17262455344</v>
      </c>
      <c r="H29" s="422">
        <f t="shared" si="1"/>
        <v>155581.17262455344</v>
      </c>
    </row>
    <row r="30" spans="1:8">
      <c r="A30" s="404" t="s">
        <v>627</v>
      </c>
      <c r="B30" s="419">
        <v>2640</v>
      </c>
      <c r="C30" s="420">
        <v>2749.9940000000001</v>
      </c>
      <c r="D30" s="418">
        <f t="shared" si="2"/>
        <v>0.16769999999999999</v>
      </c>
      <c r="E30" s="921">
        <v>3325.343773841797</v>
      </c>
      <c r="F30" s="921">
        <v>3609.2359999999999</v>
      </c>
      <c r="G30" s="423">
        <f t="shared" si="3"/>
        <v>192262.98238130572</v>
      </c>
      <c r="H30" s="422">
        <f t="shared" si="1"/>
        <v>192262.98238130572</v>
      </c>
    </row>
    <row r="31" spans="1:8">
      <c r="A31" s="409" t="s">
        <v>628</v>
      </c>
      <c r="B31" s="424">
        <f>SUM(B19:B30)</f>
        <v>27162</v>
      </c>
      <c r="C31" s="424">
        <f>SUM(C19:C30)</f>
        <v>29024.815337999993</v>
      </c>
      <c r="D31" s="418">
        <f>D19</f>
        <v>0.16769999999999999</v>
      </c>
      <c r="E31" s="425" t="s">
        <v>249</v>
      </c>
      <c r="F31" s="425" t="s">
        <v>249</v>
      </c>
      <c r="G31" s="424">
        <f>SUM(G19:G30)</f>
        <v>2801626.0042168554</v>
      </c>
      <c r="H31" s="424">
        <f>SUM(H19:H30)/1000</f>
        <v>2801.6260042168556</v>
      </c>
    </row>
    <row r="32" spans="1:8" s="271" customFormat="1"/>
    <row r="33" spans="1:12" s="271" customFormat="1">
      <c r="C33" s="271">
        <v>28701</v>
      </c>
    </row>
    <row r="34" spans="1:12" s="271" customFormat="1">
      <c r="I34" s="1935"/>
      <c r="J34" s="1935"/>
      <c r="K34" s="1935"/>
      <c r="L34" s="1935"/>
    </row>
    <row r="35" spans="1:12" s="271" customFormat="1">
      <c r="G35" s="392"/>
      <c r="H35" s="392"/>
      <c r="I35" s="392"/>
      <c r="J35" s="392"/>
      <c r="K35" s="392"/>
    </row>
    <row r="36" spans="1:12" s="271" customFormat="1">
      <c r="G36" s="392"/>
      <c r="H36" s="392"/>
      <c r="I36" s="392"/>
      <c r="J36" s="392"/>
      <c r="K36" s="392"/>
    </row>
    <row r="37" spans="1:12" s="271" customFormat="1">
      <c r="G37" s="392"/>
      <c r="H37" s="392"/>
      <c r="I37" s="392"/>
      <c r="J37" s="392"/>
      <c r="K37" s="392"/>
    </row>
    <row r="38" spans="1:12" s="271" customFormat="1">
      <c r="G38" s="392"/>
      <c r="H38" s="392"/>
      <c r="I38" s="392"/>
      <c r="J38" s="392"/>
      <c r="K38" s="392"/>
    </row>
    <row r="39" spans="1:12" s="271" customFormat="1">
      <c r="G39" s="392"/>
      <c r="H39" s="392"/>
      <c r="I39" s="392"/>
      <c r="J39" s="392"/>
      <c r="K39" s="392"/>
    </row>
    <row r="40" spans="1:12" s="271" customFormat="1" ht="63.75">
      <c r="A40" s="1522" t="s">
        <v>1429</v>
      </c>
      <c r="B40" s="1523">
        <f>B41+B42</f>
        <v>28971.675999999999</v>
      </c>
      <c r="C40" s="1524"/>
      <c r="D40" s="1524"/>
      <c r="G40" s="392"/>
      <c r="H40" s="392"/>
      <c r="I40" s="392"/>
      <c r="J40" s="392"/>
      <c r="K40" s="392"/>
    </row>
    <row r="41" spans="1:12" s="271" customFormat="1" ht="63.75">
      <c r="A41" s="1525" t="s">
        <v>1430</v>
      </c>
      <c r="B41" s="1526">
        <v>21983.502</v>
      </c>
      <c r="C41" s="1524"/>
      <c r="D41" s="1524"/>
    </row>
    <row r="42" spans="1:12" s="271" customFormat="1" ht="51">
      <c r="A42" s="1525" t="s">
        <v>1431</v>
      </c>
      <c r="B42" s="1523">
        <f>B64</f>
        <v>6988.174</v>
      </c>
      <c r="C42" s="1524"/>
      <c r="D42" s="1524"/>
    </row>
    <row r="43" spans="1:12" s="271" customFormat="1" ht="38.25">
      <c r="A43" s="1525" t="s">
        <v>1432</v>
      </c>
      <c r="B43" s="1527">
        <v>0.19650000000000001</v>
      </c>
      <c r="C43" s="1524"/>
      <c r="D43" s="1524"/>
    </row>
    <row r="44" spans="1:12" s="271" customFormat="1" ht="76.5">
      <c r="A44" s="1525" t="s">
        <v>1433</v>
      </c>
      <c r="B44" s="1528">
        <v>3515.1222074984621</v>
      </c>
      <c r="C44" s="1524"/>
      <c r="D44" s="1524"/>
    </row>
    <row r="45" spans="1:12" s="271" customFormat="1" ht="38.25">
      <c r="A45" s="1525" t="s">
        <v>1434</v>
      </c>
      <c r="B45" s="1529">
        <f>C64/B64</f>
        <v>3571.1204721004369</v>
      </c>
      <c r="C45" s="1524"/>
      <c r="D45" s="1524"/>
    </row>
    <row r="46" spans="1:12" s="271" customFormat="1" ht="126">
      <c r="A46" s="1530" t="s">
        <v>1435</v>
      </c>
      <c r="B46" s="1531">
        <f>(MIN(B42,B40*B43)*B45-B40*B44*B43)/1000</f>
        <v>318.79444319700451</v>
      </c>
      <c r="C46" s="1524"/>
      <c r="D46" s="1524"/>
    </row>
    <row r="47" spans="1:12" s="271" customFormat="1" ht="39">
      <c r="A47" s="1532" t="s">
        <v>1436</v>
      </c>
      <c r="B47" s="1533">
        <f>MAX(0,B43*B40-B42)*B45/1000</f>
        <v>0</v>
      </c>
      <c r="C47" s="1524"/>
      <c r="D47" s="1524"/>
    </row>
    <row r="48" spans="1:12" s="271" customFormat="1">
      <c r="A48" s="1524"/>
      <c r="B48" s="1524"/>
      <c r="C48" s="1524"/>
      <c r="D48" s="1524"/>
    </row>
    <row r="49" spans="1:7" s="271" customFormat="1">
      <c r="A49" s="1524"/>
      <c r="B49" s="1524"/>
      <c r="C49" s="1524"/>
      <c r="D49" s="1524"/>
    </row>
    <row r="50" spans="1:7" s="271" customFormat="1" ht="25.5">
      <c r="A50" s="1534"/>
      <c r="B50" s="1534" t="s">
        <v>1437</v>
      </c>
      <c r="C50" s="1534" t="s">
        <v>1438</v>
      </c>
      <c r="D50" s="1524"/>
    </row>
    <row r="51" spans="1:7" s="271" customFormat="1">
      <c r="A51" s="1535" t="s">
        <v>270</v>
      </c>
      <c r="B51" s="1535" t="s">
        <v>1439</v>
      </c>
      <c r="C51" s="1535" t="s">
        <v>1441</v>
      </c>
      <c r="D51" s="1524"/>
    </row>
    <row r="52" spans="1:7" s="271" customFormat="1">
      <c r="A52" s="1536" t="s">
        <v>616</v>
      </c>
      <c r="B52" s="921">
        <v>540972</v>
      </c>
      <c r="C52" s="921">
        <v>1815923.1740000001</v>
      </c>
      <c r="D52" s="1524"/>
    </row>
    <row r="53" spans="1:7" s="271" customFormat="1">
      <c r="A53" s="1536" t="s">
        <v>617</v>
      </c>
      <c r="B53" s="921">
        <v>650332</v>
      </c>
      <c r="C53" s="921">
        <v>2417569.12</v>
      </c>
      <c r="D53" s="1524"/>
    </row>
    <row r="54" spans="1:7" s="271" customFormat="1">
      <c r="A54" s="1536" t="s">
        <v>618</v>
      </c>
      <c r="B54" s="921">
        <v>582446</v>
      </c>
      <c r="C54" s="921">
        <v>2019996.26</v>
      </c>
      <c r="D54" s="1524"/>
    </row>
    <row r="55" spans="1:7" s="271" customFormat="1">
      <c r="A55" s="1536" t="s">
        <v>619</v>
      </c>
      <c r="B55" s="921">
        <v>909252</v>
      </c>
      <c r="C55" s="921">
        <v>3126676.16</v>
      </c>
      <c r="D55" s="1524"/>
    </row>
    <row r="56" spans="1:7" s="271" customFormat="1">
      <c r="A56" s="1536" t="s">
        <v>620</v>
      </c>
      <c r="B56" s="921">
        <v>692704</v>
      </c>
      <c r="C56" s="921">
        <v>2425974.02</v>
      </c>
      <c r="D56" s="1524"/>
    </row>
    <row r="57" spans="1:7" s="271" customFormat="1">
      <c r="A57" s="1536" t="s">
        <v>621</v>
      </c>
      <c r="B57" s="921">
        <v>180752</v>
      </c>
      <c r="C57" s="921">
        <v>636968.6</v>
      </c>
      <c r="D57" s="1524"/>
      <c r="E57" s="1624">
        <f>SUM(B52:B57)</f>
        <v>3556458</v>
      </c>
      <c r="F57" s="1624">
        <f>SUM(C52:C57)</f>
        <v>12443107.333999999</v>
      </c>
      <c r="G57" s="271">
        <f>F57/E57*1000</f>
        <v>3498.7359147781299</v>
      </c>
    </row>
    <row r="58" spans="1:7" s="271" customFormat="1">
      <c r="A58" s="1536" t="s">
        <v>622</v>
      </c>
      <c r="B58" s="921">
        <v>380909</v>
      </c>
      <c r="C58" s="921">
        <v>1425871.9</v>
      </c>
      <c r="D58" s="1524"/>
    </row>
    <row r="59" spans="1:7" s="271" customFormat="1">
      <c r="A59" s="1536" t="s">
        <v>623</v>
      </c>
      <c r="B59" s="921">
        <v>354881</v>
      </c>
      <c r="C59" s="921">
        <v>1316580.1200000001</v>
      </c>
      <c r="D59" s="1524"/>
    </row>
    <row r="60" spans="1:7" s="271" customFormat="1">
      <c r="A60" s="1536" t="s">
        <v>624</v>
      </c>
      <c r="B60" s="921">
        <v>342590</v>
      </c>
      <c r="C60" s="921">
        <v>1339093.8700000001</v>
      </c>
      <c r="D60" s="1524"/>
    </row>
    <row r="61" spans="1:7" s="271" customFormat="1">
      <c r="A61" s="1536" t="s">
        <v>625</v>
      </c>
      <c r="B61" s="921">
        <v>760296</v>
      </c>
      <c r="C61" s="921">
        <v>2819853.47</v>
      </c>
      <c r="D61" s="1524"/>
    </row>
    <row r="62" spans="1:7" s="271" customFormat="1">
      <c r="A62" s="1536" t="s">
        <v>626</v>
      </c>
      <c r="B62" s="921">
        <v>733703</v>
      </c>
      <c r="C62" s="921">
        <v>2694158.2</v>
      </c>
      <c r="D62" s="1524"/>
    </row>
    <row r="63" spans="1:7" s="271" customFormat="1">
      <c r="A63" s="1536" t="s">
        <v>627</v>
      </c>
      <c r="B63" s="921">
        <v>859337</v>
      </c>
      <c r="C63" s="921">
        <v>2916946.34</v>
      </c>
      <c r="D63" s="1524"/>
      <c r="E63" s="1624">
        <f t="shared" ref="E63" si="4">SUM(B58:B63)</f>
        <v>3431716</v>
      </c>
      <c r="F63" s="1624">
        <f>SUM(C58:C63)</f>
        <v>12512503.9</v>
      </c>
      <c r="G63" s="271">
        <f>F63/E63*1000</f>
        <v>3646.1361895914465</v>
      </c>
    </row>
    <row r="64" spans="1:7" s="271" customFormat="1">
      <c r="A64" s="1537" t="s">
        <v>628</v>
      </c>
      <c r="B64" s="425">
        <f>SUM(B52:B63)/1000</f>
        <v>6988.174</v>
      </c>
      <c r="C64" s="425">
        <f>SUM(C52:C63)</f>
        <v>24955611.233999997</v>
      </c>
      <c r="D64" s="1524"/>
    </row>
    <row r="65" spans="1:4" s="271" customFormat="1">
      <c r="A65" s="1524" t="s">
        <v>1440</v>
      </c>
      <c r="B65" s="1524"/>
      <c r="C65" s="1524"/>
      <c r="D65" s="1524"/>
    </row>
    <row r="66" spans="1:4" s="271" customFormat="1"/>
    <row r="67" spans="1:4" s="271" customFormat="1"/>
    <row r="68" spans="1:4" s="271" customFormat="1"/>
    <row r="69" spans="1:4" s="271" customFormat="1"/>
    <row r="70" spans="1:4" s="271" customFormat="1"/>
    <row r="71" spans="1:4" s="271" customFormat="1"/>
    <row r="72" spans="1:4" s="271" customFormat="1"/>
    <row r="73" spans="1:4" s="271" customFormat="1"/>
    <row r="74" spans="1:4" s="271" customFormat="1"/>
    <row r="75" spans="1:4" s="271" customFormat="1"/>
    <row r="76" spans="1:4" s="271" customFormat="1"/>
    <row r="77" spans="1:4" s="271" customFormat="1"/>
    <row r="78" spans="1:4" s="271" customFormat="1"/>
    <row r="79" spans="1:4" s="271" customFormat="1"/>
    <row r="80" spans="1:4" s="271" customFormat="1"/>
    <row r="81" s="271" customFormat="1"/>
    <row r="82" s="271" customFormat="1"/>
    <row r="83" s="271" customFormat="1"/>
    <row r="84" s="271" customFormat="1"/>
    <row r="85" s="271" customFormat="1"/>
    <row r="86" s="271" customFormat="1"/>
    <row r="87" s="271" customFormat="1"/>
    <row r="88" s="271" customFormat="1"/>
    <row r="89" s="271" customFormat="1"/>
    <row r="90" s="271" customFormat="1"/>
    <row r="91" s="271" customFormat="1"/>
    <row r="92" s="271" customFormat="1"/>
    <row r="93" s="271" customFormat="1"/>
    <row r="94" s="271" customFormat="1"/>
  </sheetData>
  <mergeCells count="8">
    <mergeCell ref="I34:J34"/>
    <mergeCell ref="K34:L34"/>
    <mergeCell ref="A1:H1"/>
    <mergeCell ref="A2:A3"/>
    <mergeCell ref="B2:C2"/>
    <mergeCell ref="D2:D3"/>
    <mergeCell ref="E2:F2"/>
    <mergeCell ref="G2:H2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12">
    <tabColor rgb="FF00B0F0"/>
  </sheetPr>
  <dimension ref="A2:F12"/>
  <sheetViews>
    <sheetView workbookViewId="0"/>
  </sheetViews>
  <sheetFormatPr defaultRowHeight="12.75" outlineLevelCol="1"/>
  <cols>
    <col min="1" max="1" width="8" customWidth="1"/>
    <col min="2" max="2" width="48.7109375" customWidth="1"/>
    <col min="3" max="3" width="12" customWidth="1"/>
    <col min="4" max="4" width="13.5703125" customWidth="1"/>
    <col min="5" max="5" width="13.85546875" customWidth="1" outlineLevel="1"/>
    <col min="6" max="6" width="9" customWidth="1"/>
  </cols>
  <sheetData>
    <row r="2" spans="1:6" ht="39" customHeight="1">
      <c r="A2" s="1938" t="s">
        <v>1393</v>
      </c>
      <c r="B2" s="1938"/>
      <c r="C2" s="1938"/>
      <c r="D2" s="1938"/>
      <c r="E2" s="1938"/>
    </row>
    <row r="3" spans="1:6" ht="18.75">
      <c r="A3" s="277"/>
      <c r="B3" s="277"/>
      <c r="C3" s="277"/>
      <c r="D3" s="277"/>
    </row>
    <row r="4" spans="1:6" s="271" customFormat="1" ht="46.5" customHeight="1">
      <c r="A4" s="318" t="s">
        <v>244</v>
      </c>
      <c r="B4" s="318" t="s">
        <v>563</v>
      </c>
      <c r="C4" s="318" t="s">
        <v>567</v>
      </c>
      <c r="D4" s="318" t="s">
        <v>516</v>
      </c>
      <c r="E4" s="318" t="s">
        <v>517</v>
      </c>
    </row>
    <row r="5" spans="1:6" s="389" customFormat="1" ht="12" customHeight="1">
      <c r="A5" s="412">
        <v>1</v>
      </c>
      <c r="B5" s="412">
        <v>2</v>
      </c>
      <c r="C5" s="412">
        <v>3</v>
      </c>
      <c r="D5" s="413">
        <v>4</v>
      </c>
      <c r="E5" s="414">
        <v>5</v>
      </c>
    </row>
    <row r="6" spans="1:6" s="389" customFormat="1" ht="50.25" customHeight="1">
      <c r="A6" s="319" t="s">
        <v>250</v>
      </c>
      <c r="B6" s="415" t="s">
        <v>568</v>
      </c>
      <c r="C6" s="415"/>
      <c r="D6" s="395">
        <f>D7+D8</f>
        <v>0</v>
      </c>
      <c r="E6" s="396">
        <f>E7+E8</f>
        <v>0</v>
      </c>
    </row>
    <row r="7" spans="1:6" s="271" customFormat="1" ht="18.75" customHeight="1">
      <c r="A7" s="398"/>
      <c r="B7" s="415" t="s">
        <v>569</v>
      </c>
      <c r="C7" s="415"/>
      <c r="D7" s="394"/>
      <c r="E7" s="417"/>
    </row>
    <row r="8" spans="1:6" s="271" customFormat="1" ht="15.75" customHeight="1">
      <c r="A8" s="398"/>
      <c r="B8" s="415" t="s">
        <v>570</v>
      </c>
      <c r="C8" s="415"/>
      <c r="D8" s="394"/>
      <c r="E8" s="394"/>
    </row>
    <row r="9" spans="1:6" s="271" customFormat="1" ht="72" customHeight="1">
      <c r="A9" s="398" t="s">
        <v>246</v>
      </c>
      <c r="B9" s="415" t="s">
        <v>571</v>
      </c>
      <c r="C9" s="415"/>
      <c r="D9" s="417"/>
      <c r="E9" s="417"/>
    </row>
    <row r="10" spans="1:6" s="271" customFormat="1" ht="29.25" customHeight="1">
      <c r="A10" s="398" t="s">
        <v>251</v>
      </c>
      <c r="B10" s="415" t="s">
        <v>572</v>
      </c>
      <c r="C10" s="415"/>
      <c r="D10" s="394"/>
      <c r="E10" s="417"/>
      <c r="F10" s="271" t="s">
        <v>777</v>
      </c>
    </row>
    <row r="11" spans="1:6" s="271" customFormat="1" ht="93" customHeight="1">
      <c r="A11" s="398" t="s">
        <v>253</v>
      </c>
      <c r="B11" s="416" t="s">
        <v>573</v>
      </c>
      <c r="C11" s="415"/>
      <c r="D11" s="417"/>
      <c r="E11" s="417"/>
    </row>
    <row r="12" spans="1:6" s="271" customFormat="1" ht="21.75" customHeight="1">
      <c r="A12" s="398"/>
      <c r="B12" s="399" t="s">
        <v>566</v>
      </c>
      <c r="C12" s="399"/>
      <c r="D12" s="400">
        <f>IF(D9=0,0,D6*(D10/D9-1)-D11)</f>
        <v>0</v>
      </c>
      <c r="E12" s="400">
        <f>IF(E9=0,0,E6*(E10/E9-1)-E11)</f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27">
    <tabColor rgb="FF00B0F0"/>
  </sheetPr>
  <dimension ref="A1:S21"/>
  <sheetViews>
    <sheetView workbookViewId="0">
      <selection sqref="A1:G1"/>
    </sheetView>
  </sheetViews>
  <sheetFormatPr defaultRowHeight="12.75"/>
  <cols>
    <col min="2" max="2" width="39.42578125" customWidth="1"/>
    <col min="3" max="4" width="13.5703125" customWidth="1"/>
    <col min="5" max="6" width="12.85546875" customWidth="1"/>
    <col min="7" max="7" width="12.7109375" customWidth="1"/>
    <col min="8" max="8" width="13.28515625" customWidth="1"/>
  </cols>
  <sheetData>
    <row r="1" spans="1:8" ht="44.25" customHeight="1">
      <c r="A1" s="1938" t="s">
        <v>1443</v>
      </c>
      <c r="B1" s="1938"/>
      <c r="C1" s="1938"/>
      <c r="D1" s="1938"/>
      <c r="E1" s="1938"/>
      <c r="F1" s="1938"/>
      <c r="G1" s="1938"/>
    </row>
    <row r="2" spans="1:8" ht="39" customHeight="1">
      <c r="A2" s="318" t="s">
        <v>244</v>
      </c>
      <c r="B2" s="318" t="s">
        <v>563</v>
      </c>
      <c r="C2" s="318" t="s">
        <v>598</v>
      </c>
      <c r="D2" s="318" t="s">
        <v>516</v>
      </c>
      <c r="E2" s="318" t="s">
        <v>517</v>
      </c>
      <c r="F2" s="385"/>
      <c r="G2" s="385"/>
      <c r="H2" s="385"/>
    </row>
    <row r="3" spans="1:8">
      <c r="A3" s="319">
        <v>1</v>
      </c>
      <c r="B3" s="319">
        <v>2</v>
      </c>
      <c r="C3" s="319">
        <v>3</v>
      </c>
      <c r="D3" s="319">
        <v>4</v>
      </c>
      <c r="E3" s="320">
        <v>5</v>
      </c>
      <c r="F3" s="386"/>
      <c r="G3" s="387"/>
      <c r="H3" s="388"/>
    </row>
    <row r="4" spans="1:8" ht="25.5">
      <c r="A4" s="319" t="s">
        <v>250</v>
      </c>
      <c r="B4" s="415" t="s">
        <v>599</v>
      </c>
      <c r="C4" s="22"/>
      <c r="D4" s="426">
        <v>0</v>
      </c>
      <c r="E4" s="426">
        <v>0</v>
      </c>
      <c r="F4" s="1521"/>
    </row>
    <row r="5" spans="1:8" ht="38.25" customHeight="1">
      <c r="A5" s="398" t="s">
        <v>246</v>
      </c>
      <c r="B5" s="415" t="s">
        <v>600</v>
      </c>
      <c r="C5" s="427"/>
      <c r="D5" s="426">
        <v>0</v>
      </c>
      <c r="E5" s="1520"/>
    </row>
    <row r="6" spans="1:8" ht="38.25" customHeight="1">
      <c r="A6" s="398" t="s">
        <v>251</v>
      </c>
      <c r="B6" s="415" t="s">
        <v>601</v>
      </c>
      <c r="C6" s="22" t="s">
        <v>602</v>
      </c>
      <c r="D6" s="426">
        <f>D4*0.65+D5*0.35</f>
        <v>0</v>
      </c>
      <c r="E6" s="426"/>
    </row>
    <row r="7" spans="1:8" ht="21" customHeight="1">
      <c r="A7" s="428" t="s">
        <v>253</v>
      </c>
      <c r="B7" s="429" t="s">
        <v>603</v>
      </c>
      <c r="C7" s="22"/>
      <c r="D7" s="430">
        <v>0.02</v>
      </c>
      <c r="E7" s="430">
        <v>0.02</v>
      </c>
    </row>
    <row r="8" spans="1:8" ht="38.25">
      <c r="A8" s="428" t="s">
        <v>254</v>
      </c>
      <c r="B8" s="429" t="s">
        <v>604</v>
      </c>
      <c r="C8" s="22"/>
      <c r="D8" s="426">
        <f>D6*D7</f>
        <v>0</v>
      </c>
      <c r="E8" s="426">
        <v>0</v>
      </c>
    </row>
    <row r="9" spans="1:8" ht="25.5">
      <c r="A9" s="428" t="s">
        <v>255</v>
      </c>
      <c r="B9" s="429" t="s">
        <v>605</v>
      </c>
      <c r="C9" s="22"/>
      <c r="D9" s="431">
        <v>30457.586217212443</v>
      </c>
      <c r="E9" s="431">
        <v>30457.586217212443</v>
      </c>
    </row>
    <row r="10" spans="1:8" ht="25.5">
      <c r="A10" s="432" t="s">
        <v>256</v>
      </c>
      <c r="B10" s="433" t="s">
        <v>606</v>
      </c>
      <c r="C10" s="276"/>
      <c r="D10" s="434">
        <f>D8*D9</f>
        <v>0</v>
      </c>
      <c r="E10" s="434">
        <f>E8*E9</f>
        <v>0</v>
      </c>
    </row>
    <row r="12" spans="1:8" ht="18.75">
      <c r="A12" s="1938" t="s">
        <v>574</v>
      </c>
      <c r="B12" s="1938"/>
      <c r="C12" s="1938"/>
      <c r="D12" s="1938"/>
      <c r="E12" s="1938"/>
      <c r="F12" s="1938"/>
      <c r="G12" s="1938"/>
      <c r="H12" s="286"/>
    </row>
    <row r="14" spans="1:8">
      <c r="A14" s="1933" t="s">
        <v>244</v>
      </c>
      <c r="B14" s="1933" t="s">
        <v>563</v>
      </c>
      <c r="C14" s="1933" t="s">
        <v>575</v>
      </c>
      <c r="D14" s="1933" t="s">
        <v>1442</v>
      </c>
      <c r="E14" s="1934" t="s">
        <v>516</v>
      </c>
      <c r="F14" s="1934"/>
      <c r="G14" s="1934" t="s">
        <v>517</v>
      </c>
      <c r="H14" s="1934"/>
    </row>
    <row r="15" spans="1:8" ht="25.5">
      <c r="A15" s="1933"/>
      <c r="B15" s="1933"/>
      <c r="C15" s="1933"/>
      <c r="D15" s="1933"/>
      <c r="E15" s="318" t="s">
        <v>514</v>
      </c>
      <c r="F15" s="318" t="s">
        <v>576</v>
      </c>
      <c r="G15" s="318" t="s">
        <v>514</v>
      </c>
      <c r="H15" s="318" t="s">
        <v>576</v>
      </c>
    </row>
    <row r="16" spans="1:8">
      <c r="A16" s="319">
        <v>1</v>
      </c>
      <c r="B16" s="319">
        <v>2</v>
      </c>
      <c r="C16" s="319">
        <v>3</v>
      </c>
      <c r="D16" s="319">
        <v>4</v>
      </c>
      <c r="E16" s="320">
        <v>5</v>
      </c>
      <c r="F16" s="320">
        <v>6</v>
      </c>
      <c r="G16" s="393">
        <v>7</v>
      </c>
      <c r="H16" s="20">
        <v>8</v>
      </c>
    </row>
    <row r="17" spans="1:19" ht="27" customHeight="1">
      <c r="A17" s="319" t="s">
        <v>250</v>
      </c>
      <c r="B17" s="415" t="s">
        <v>577</v>
      </c>
      <c r="C17" s="435" t="s">
        <v>352</v>
      </c>
      <c r="D17" s="436">
        <v>7.3000000000000001E-3</v>
      </c>
      <c r="E17" s="436">
        <v>2.6147297637436964E-3</v>
      </c>
      <c r="F17" s="437">
        <f>(E17-D17)/D17</f>
        <v>-0.64181784058305524</v>
      </c>
      <c r="G17" s="436">
        <v>1.41E-2</v>
      </c>
      <c r="H17" s="438"/>
    </row>
    <row r="18" spans="1:19" ht="25.5">
      <c r="A18" s="398" t="s">
        <v>246</v>
      </c>
      <c r="B18" s="415" t="s">
        <v>578</v>
      </c>
      <c r="C18" s="415"/>
      <c r="D18" s="439">
        <v>0.89749999999999996</v>
      </c>
      <c r="E18" s="1538">
        <v>0.85541666666666705</v>
      </c>
      <c r="F18" s="437">
        <f>(E18-D18)/D18</f>
        <v>-4.6889507892292945E-2</v>
      </c>
      <c r="G18" s="436">
        <v>0.85960000000000003</v>
      </c>
      <c r="H18" s="438"/>
    </row>
    <row r="20" spans="1:19">
      <c r="D20" s="981"/>
      <c r="E20" s="982"/>
      <c r="F20" s="982"/>
      <c r="G20" s="982"/>
      <c r="H20" s="982"/>
      <c r="I20" s="982"/>
      <c r="J20" s="982"/>
      <c r="K20" s="982"/>
      <c r="L20" s="982"/>
      <c r="M20" s="982"/>
      <c r="N20" s="982"/>
      <c r="O20" s="982"/>
      <c r="P20" s="982"/>
      <c r="Q20" s="982"/>
      <c r="R20" s="982"/>
      <c r="S20" s="982"/>
    </row>
    <row r="21" spans="1:19">
      <c r="D21" s="981"/>
      <c r="E21" s="982"/>
      <c r="F21" s="982"/>
      <c r="G21" s="982"/>
      <c r="H21" s="982"/>
      <c r="I21" s="982"/>
      <c r="J21" s="982"/>
      <c r="K21" s="982"/>
      <c r="L21" s="982"/>
      <c r="M21" s="982"/>
      <c r="N21" s="982"/>
      <c r="O21" s="982"/>
      <c r="P21" s="982"/>
      <c r="Q21" s="982"/>
      <c r="R21" s="982"/>
      <c r="S21" s="982"/>
    </row>
  </sheetData>
  <mergeCells count="8">
    <mergeCell ref="A1:G1"/>
    <mergeCell ref="A12:G12"/>
    <mergeCell ref="A14:A15"/>
    <mergeCell ref="B14:B15"/>
    <mergeCell ref="C14:C15"/>
    <mergeCell ref="D14:D15"/>
    <mergeCell ref="E14:F14"/>
    <mergeCell ref="G14:H14"/>
  </mergeCells>
  <pageMargins left="0.7" right="0.7" top="0.75" bottom="0.75" header="0.3" footer="0.3"/>
  <pageSetup paperSize="9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2:L29"/>
  <sheetViews>
    <sheetView workbookViewId="0"/>
  </sheetViews>
  <sheetFormatPr defaultRowHeight="12.75"/>
  <cols>
    <col min="3" max="3" width="79.28515625" customWidth="1"/>
    <col min="4" max="4" width="24.85546875" customWidth="1"/>
    <col min="5" max="5" width="23.28515625" customWidth="1"/>
    <col min="6" max="6" width="22.28515625" customWidth="1"/>
    <col min="7" max="7" width="24" customWidth="1"/>
    <col min="8" max="8" width="21" customWidth="1"/>
    <col min="9" max="9" width="24.42578125" customWidth="1"/>
    <col min="10" max="10" width="15.7109375" customWidth="1"/>
    <col min="11" max="11" width="16.5703125" customWidth="1"/>
    <col min="12" max="12" width="21.5703125" customWidth="1"/>
  </cols>
  <sheetData>
    <row r="2" spans="1:12" ht="15.75">
      <c r="B2" s="1940" t="s">
        <v>934</v>
      </c>
      <c r="C2" s="1940"/>
      <c r="D2" s="1940"/>
      <c r="E2" s="1940"/>
      <c r="F2" s="1940"/>
      <c r="G2" s="1940"/>
      <c r="H2" s="1940"/>
      <c r="I2" s="1940"/>
      <c r="J2" s="1940"/>
      <c r="K2" s="1940"/>
      <c r="L2" s="1940"/>
    </row>
    <row r="4" spans="1:12" ht="57.75" customHeight="1">
      <c r="A4" s="238"/>
      <c r="B4" s="1939" t="s">
        <v>935</v>
      </c>
      <c r="C4" s="1939" t="s">
        <v>269</v>
      </c>
      <c r="D4" s="1939" t="s">
        <v>1444</v>
      </c>
      <c r="E4" s="1939"/>
      <c r="F4" s="1939"/>
      <c r="G4" s="1939" t="s">
        <v>1445</v>
      </c>
      <c r="H4" s="1939"/>
      <c r="I4" s="1939"/>
      <c r="J4" s="1939" t="s">
        <v>1446</v>
      </c>
      <c r="K4" s="1939"/>
      <c r="L4" s="1939"/>
    </row>
    <row r="5" spans="1:12">
      <c r="A5" s="238"/>
      <c r="B5" s="1939"/>
      <c r="C5" s="1939"/>
      <c r="D5" s="238" t="s">
        <v>936</v>
      </c>
      <c r="E5" s="238" t="s">
        <v>937</v>
      </c>
      <c r="F5" s="238" t="s">
        <v>938</v>
      </c>
      <c r="G5" s="238" t="s">
        <v>939</v>
      </c>
      <c r="H5" s="238" t="s">
        <v>937</v>
      </c>
      <c r="I5" s="238" t="s">
        <v>940</v>
      </c>
      <c r="J5" s="238" t="s">
        <v>939</v>
      </c>
      <c r="K5" s="238" t="s">
        <v>937</v>
      </c>
      <c r="L5" s="238" t="s">
        <v>940</v>
      </c>
    </row>
    <row r="6" spans="1:12">
      <c r="A6" s="238"/>
      <c r="B6" s="238">
        <v>1</v>
      </c>
      <c r="C6" s="238">
        <v>2</v>
      </c>
      <c r="D6" s="238">
        <v>3</v>
      </c>
      <c r="E6" s="238">
        <v>4</v>
      </c>
      <c r="F6" s="238">
        <v>5</v>
      </c>
      <c r="G6" s="238">
        <v>6</v>
      </c>
      <c r="H6" s="238">
        <v>7</v>
      </c>
      <c r="I6" s="238">
        <v>8</v>
      </c>
      <c r="J6" s="238">
        <v>9</v>
      </c>
      <c r="K6" s="238">
        <v>10</v>
      </c>
      <c r="L6" s="238">
        <v>11</v>
      </c>
    </row>
    <row r="7" spans="1:12" ht="40.5" customHeight="1">
      <c r="A7" s="238"/>
      <c r="B7" s="238">
        <v>1</v>
      </c>
      <c r="C7" s="741" t="s">
        <v>941</v>
      </c>
      <c r="D7" s="238"/>
      <c r="E7" s="238"/>
      <c r="F7" s="238"/>
      <c r="G7" s="238">
        <v>19360.240000000002</v>
      </c>
      <c r="H7" s="238">
        <f>I22*4.2</f>
        <v>109.2</v>
      </c>
      <c r="I7" s="1539">
        <f>G7*H7/1000</f>
        <v>2114.1382080000003</v>
      </c>
      <c r="J7" s="1540" t="s">
        <v>1447</v>
      </c>
      <c r="K7" s="238">
        <f>L22*4.2</f>
        <v>84</v>
      </c>
      <c r="L7" s="1539">
        <f>J7*K7/1000</f>
        <v>1618.0172399999999</v>
      </c>
    </row>
    <row r="8" spans="1:12" ht="34.5" customHeight="1">
      <c r="A8" s="238"/>
      <c r="B8" s="238" t="s">
        <v>403</v>
      </c>
      <c r="C8" s="741" t="s">
        <v>942</v>
      </c>
      <c r="D8" s="238"/>
      <c r="E8" s="238"/>
      <c r="F8" s="238"/>
      <c r="G8" s="238">
        <v>3397.62</v>
      </c>
      <c r="H8" s="238">
        <f>H7</f>
        <v>109.2</v>
      </c>
      <c r="I8" s="1539">
        <f>G8*H8/1000</f>
        <v>371.020104</v>
      </c>
      <c r="J8" s="1540" t="s">
        <v>1448</v>
      </c>
      <c r="K8" s="238">
        <f>K7</f>
        <v>84</v>
      </c>
      <c r="L8" s="1539">
        <f>J8*K8/1000</f>
        <v>314.91179999999997</v>
      </c>
    </row>
    <row r="9" spans="1:12" ht="33" customHeight="1">
      <c r="A9" s="238"/>
      <c r="B9" s="238" t="s">
        <v>404</v>
      </c>
      <c r="C9" s="741" t="s">
        <v>943</v>
      </c>
      <c r="D9" s="238"/>
      <c r="E9" s="238"/>
      <c r="F9" s="238"/>
      <c r="G9" s="238">
        <v>15962.62</v>
      </c>
      <c r="H9" s="238">
        <f>H8</f>
        <v>109.2</v>
      </c>
      <c r="I9" s="1539">
        <f>G9*H9/1000</f>
        <v>1743.1181040000001</v>
      </c>
      <c r="J9" s="1540" t="s">
        <v>1449</v>
      </c>
      <c r="K9" s="238">
        <f>K8</f>
        <v>84</v>
      </c>
      <c r="L9" s="1539">
        <f>J9*K9/1000</f>
        <v>1303.10544</v>
      </c>
    </row>
    <row r="10" spans="1:12" ht="18" customHeight="1">
      <c r="A10" s="238"/>
      <c r="B10" s="238" t="s">
        <v>405</v>
      </c>
      <c r="C10" s="238" t="s">
        <v>944</v>
      </c>
      <c r="D10" s="238" t="s">
        <v>249</v>
      </c>
      <c r="E10" s="238" t="s">
        <v>249</v>
      </c>
      <c r="F10" s="238" t="s">
        <v>249</v>
      </c>
      <c r="G10" s="238" t="s">
        <v>249</v>
      </c>
      <c r="H10" s="238" t="s">
        <v>249</v>
      </c>
      <c r="I10" s="238" t="s">
        <v>249</v>
      </c>
      <c r="J10" s="238" t="s">
        <v>249</v>
      </c>
      <c r="K10" s="238" t="s">
        <v>249</v>
      </c>
      <c r="L10" s="238" t="s">
        <v>249</v>
      </c>
    </row>
    <row r="11" spans="1:12" ht="40.5" customHeight="1">
      <c r="A11" s="238"/>
      <c r="B11" s="238" t="s">
        <v>945</v>
      </c>
      <c r="C11" s="741" t="s">
        <v>946</v>
      </c>
      <c r="D11" s="238"/>
      <c r="E11" s="238"/>
      <c r="F11" s="238"/>
      <c r="G11" s="238"/>
      <c r="H11" s="238">
        <f>H9</f>
        <v>109.2</v>
      </c>
      <c r="I11" s="238">
        <f>G11*H11/1000</f>
        <v>0</v>
      </c>
      <c r="J11" s="238">
        <f>G11*1.04</f>
        <v>0</v>
      </c>
      <c r="K11" s="238">
        <f>K9</f>
        <v>84</v>
      </c>
      <c r="L11" s="238">
        <f>J11*K11/1000</f>
        <v>0</v>
      </c>
    </row>
    <row r="12" spans="1:12" ht="18" customHeight="1">
      <c r="A12" s="238"/>
      <c r="B12" s="238">
        <v>2</v>
      </c>
      <c r="C12" s="238" t="s">
        <v>947</v>
      </c>
      <c r="D12" s="238" t="s">
        <v>249</v>
      </c>
      <c r="E12" s="238" t="s">
        <v>249</v>
      </c>
      <c r="F12" s="238" t="s">
        <v>249</v>
      </c>
      <c r="G12" s="238" t="s">
        <v>249</v>
      </c>
      <c r="H12" s="238" t="s">
        <v>249</v>
      </c>
      <c r="I12" s="238" t="s">
        <v>249</v>
      </c>
      <c r="J12" s="238" t="s">
        <v>249</v>
      </c>
      <c r="K12" s="238" t="s">
        <v>249</v>
      </c>
      <c r="L12" s="238" t="s">
        <v>249</v>
      </c>
    </row>
    <row r="13" spans="1:12" ht="18" customHeight="1">
      <c r="A13" s="238"/>
      <c r="B13" s="238" t="s">
        <v>272</v>
      </c>
      <c r="C13" s="238" t="s">
        <v>948</v>
      </c>
      <c r="D13" s="238" t="s">
        <v>249</v>
      </c>
      <c r="E13" s="238" t="s">
        <v>249</v>
      </c>
      <c r="F13" s="238" t="s">
        <v>249</v>
      </c>
      <c r="G13" s="238" t="s">
        <v>249</v>
      </c>
      <c r="H13" s="238" t="s">
        <v>249</v>
      </c>
      <c r="I13" s="238" t="s">
        <v>249</v>
      </c>
      <c r="J13" s="238" t="s">
        <v>249</v>
      </c>
      <c r="K13" s="238" t="s">
        <v>249</v>
      </c>
      <c r="L13" s="238" t="s">
        <v>249</v>
      </c>
    </row>
    <row r="14" spans="1:12" ht="18" customHeight="1">
      <c r="A14" s="238"/>
      <c r="B14" s="238" t="s">
        <v>275</v>
      </c>
      <c r="C14" s="238" t="s">
        <v>949</v>
      </c>
      <c r="D14" s="238" t="s">
        <v>249</v>
      </c>
      <c r="E14" s="238" t="s">
        <v>249</v>
      </c>
      <c r="F14" s="238" t="s">
        <v>249</v>
      </c>
      <c r="G14" s="238" t="s">
        <v>249</v>
      </c>
      <c r="H14" s="238" t="s">
        <v>249</v>
      </c>
      <c r="I14" s="238" t="s">
        <v>249</v>
      </c>
      <c r="J14" s="238" t="s">
        <v>249</v>
      </c>
      <c r="K14" s="238" t="s">
        <v>249</v>
      </c>
      <c r="L14" s="238" t="s">
        <v>249</v>
      </c>
    </row>
    <row r="15" spans="1:12" ht="18" customHeight="1">
      <c r="A15" s="238"/>
      <c r="B15" s="1939" t="s">
        <v>950</v>
      </c>
      <c r="C15" s="1939" t="s">
        <v>951</v>
      </c>
      <c r="D15" s="1939" t="s">
        <v>249</v>
      </c>
      <c r="E15" s="1939" t="s">
        <v>249</v>
      </c>
      <c r="F15" s="1939" t="s">
        <v>249</v>
      </c>
      <c r="G15" s="1939" t="s">
        <v>249</v>
      </c>
      <c r="H15" s="1939" t="s">
        <v>249</v>
      </c>
      <c r="I15" s="1939" t="s">
        <v>249</v>
      </c>
      <c r="J15" s="1939" t="s">
        <v>249</v>
      </c>
      <c r="K15" s="1939" t="s">
        <v>249</v>
      </c>
      <c r="L15" s="1939" t="s">
        <v>249</v>
      </c>
    </row>
    <row r="16" spans="1:12" ht="18" customHeight="1">
      <c r="A16" s="238"/>
      <c r="B16" s="1939"/>
      <c r="C16" s="1939"/>
      <c r="D16" s="1939"/>
      <c r="E16" s="1939"/>
      <c r="F16" s="1939"/>
      <c r="G16" s="1939"/>
      <c r="H16" s="1939"/>
      <c r="I16" s="1939"/>
      <c r="J16" s="1939"/>
      <c r="K16" s="1939"/>
      <c r="L16" s="1939"/>
    </row>
    <row r="17" spans="1:12" ht="18" customHeight="1">
      <c r="A17" s="238"/>
      <c r="B17" s="1939" t="s">
        <v>952</v>
      </c>
      <c r="C17" s="1939" t="s">
        <v>953</v>
      </c>
      <c r="D17" s="1939" t="s">
        <v>249</v>
      </c>
      <c r="E17" s="1939" t="s">
        <v>249</v>
      </c>
      <c r="F17" s="1939" t="s">
        <v>249</v>
      </c>
      <c r="G17" s="1939" t="s">
        <v>249</v>
      </c>
      <c r="H17" s="1939" t="s">
        <v>249</v>
      </c>
      <c r="I17" s="1939" t="s">
        <v>249</v>
      </c>
      <c r="J17" s="1939" t="s">
        <v>249</v>
      </c>
      <c r="K17" s="1939" t="s">
        <v>249</v>
      </c>
      <c r="L17" s="1939" t="s">
        <v>249</v>
      </c>
    </row>
    <row r="18" spans="1:12" ht="18" customHeight="1">
      <c r="A18" s="238"/>
      <c r="B18" s="1939"/>
      <c r="C18" s="1939"/>
      <c r="D18" s="1939"/>
      <c r="E18" s="1939"/>
      <c r="F18" s="1939"/>
      <c r="G18" s="1939"/>
      <c r="H18" s="1939"/>
      <c r="I18" s="1939"/>
      <c r="J18" s="1939"/>
      <c r="K18" s="1939"/>
      <c r="L18" s="1939"/>
    </row>
    <row r="19" spans="1:12" ht="18" customHeight="1">
      <c r="A19" s="238"/>
      <c r="B19" s="238" t="s">
        <v>954</v>
      </c>
      <c r="C19" s="238" t="s">
        <v>955</v>
      </c>
      <c r="D19" s="238" t="s">
        <v>249</v>
      </c>
      <c r="E19" s="238" t="s">
        <v>249</v>
      </c>
      <c r="F19" s="238" t="s">
        <v>249</v>
      </c>
      <c r="G19" s="238" t="s">
        <v>249</v>
      </c>
      <c r="H19" s="238" t="s">
        <v>249</v>
      </c>
      <c r="I19" s="238" t="s">
        <v>249</v>
      </c>
      <c r="J19" s="238" t="s">
        <v>249</v>
      </c>
      <c r="K19" s="238" t="s">
        <v>249</v>
      </c>
      <c r="L19" s="238" t="s">
        <v>249</v>
      </c>
    </row>
    <row r="20" spans="1:12" ht="18" customHeight="1">
      <c r="A20" s="238"/>
      <c r="B20" s="238">
        <v>3</v>
      </c>
      <c r="C20" s="238" t="s">
        <v>956</v>
      </c>
      <c r="D20" s="238" t="s">
        <v>249</v>
      </c>
      <c r="E20" s="238" t="s">
        <v>249</v>
      </c>
      <c r="F20" s="238">
        <f>F21*F22/1000</f>
        <v>0</v>
      </c>
      <c r="G20" s="238" t="s">
        <v>249</v>
      </c>
      <c r="H20" s="238" t="s">
        <v>249</v>
      </c>
      <c r="I20" s="1539">
        <f>I21*I22/1000</f>
        <v>12.118644067796611</v>
      </c>
      <c r="J20" s="238" t="s">
        <v>249</v>
      </c>
      <c r="K20" s="238" t="s">
        <v>249</v>
      </c>
      <c r="L20" s="1539">
        <f>L21*L22/1000</f>
        <v>9.3220338983050866</v>
      </c>
    </row>
    <row r="21" spans="1:12" ht="18" customHeight="1">
      <c r="A21" s="238"/>
      <c r="B21" s="238" t="s">
        <v>414</v>
      </c>
      <c r="C21" s="238" t="s">
        <v>957</v>
      </c>
      <c r="D21" s="238" t="s">
        <v>249</v>
      </c>
      <c r="E21" s="238" t="s">
        <v>249</v>
      </c>
      <c r="F21" s="1539">
        <f>550/1.18</f>
        <v>466.10169491525426</v>
      </c>
      <c r="G21" s="238" t="s">
        <v>249</v>
      </c>
      <c r="H21" s="238" t="s">
        <v>249</v>
      </c>
      <c r="I21" s="1539">
        <f>550/1.18</f>
        <v>466.10169491525426</v>
      </c>
      <c r="J21" s="238" t="s">
        <v>249</v>
      </c>
      <c r="K21" s="238" t="s">
        <v>249</v>
      </c>
      <c r="L21" s="1539">
        <f>550/1.18</f>
        <v>466.10169491525426</v>
      </c>
    </row>
    <row r="22" spans="1:12" ht="18" customHeight="1" thickBot="1">
      <c r="A22" s="238"/>
      <c r="B22" s="238" t="s">
        <v>415</v>
      </c>
      <c r="C22" s="238" t="s">
        <v>958</v>
      </c>
      <c r="D22" s="238" t="s">
        <v>249</v>
      </c>
      <c r="E22" s="238" t="s">
        <v>249</v>
      </c>
      <c r="F22" s="238"/>
      <c r="G22" s="238" t="s">
        <v>249</v>
      </c>
      <c r="H22" s="238" t="s">
        <v>249</v>
      </c>
      <c r="I22" s="1539">
        <v>26</v>
      </c>
      <c r="J22" s="238" t="s">
        <v>249</v>
      </c>
      <c r="K22" s="238" t="s">
        <v>249</v>
      </c>
      <c r="L22" s="1539">
        <v>20</v>
      </c>
    </row>
    <row r="23" spans="1:12" ht="18" customHeight="1" thickBot="1">
      <c r="A23" s="238"/>
      <c r="B23" s="238">
        <v>4</v>
      </c>
      <c r="C23" s="238" t="s">
        <v>959</v>
      </c>
      <c r="D23" s="238" t="s">
        <v>249</v>
      </c>
      <c r="E23" s="238" t="s">
        <v>249</v>
      </c>
      <c r="F23" s="238">
        <f>F7-F20</f>
        <v>0</v>
      </c>
      <c r="G23" s="238" t="s">
        <v>249</v>
      </c>
      <c r="H23" s="238" t="s">
        <v>249</v>
      </c>
      <c r="I23" s="1539">
        <f>I7-I20</f>
        <v>2102.0195639322037</v>
      </c>
      <c r="J23" s="238" t="s">
        <v>249</v>
      </c>
      <c r="K23" s="238" t="s">
        <v>249</v>
      </c>
      <c r="L23" s="1539">
        <f>L7-L20</f>
        <v>1608.6952061016948</v>
      </c>
    </row>
    <row r="27" spans="1:12">
      <c r="G27" s="1521"/>
    </row>
    <row r="28" spans="1:12">
      <c r="G28" s="1521"/>
    </row>
    <row r="29" spans="1:12">
      <c r="G29" s="1521"/>
    </row>
  </sheetData>
  <mergeCells count="28">
    <mergeCell ref="B2:L2"/>
    <mergeCell ref="B4:B5"/>
    <mergeCell ref="C4:C5"/>
    <mergeCell ref="D4:F4"/>
    <mergeCell ref="G4:I4"/>
    <mergeCell ref="J4:L4"/>
    <mergeCell ref="K15:K16"/>
    <mergeCell ref="B15:B16"/>
    <mergeCell ref="C15:C16"/>
    <mergeCell ref="D15:D16"/>
    <mergeCell ref="E15:E16"/>
    <mergeCell ref="F15:F16"/>
    <mergeCell ref="L15:L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G15:G16"/>
    <mergeCell ref="H15:H16"/>
    <mergeCell ref="I15:I16"/>
    <mergeCell ref="J15:J16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28"/>
  <dimension ref="A1:M52"/>
  <sheetViews>
    <sheetView workbookViewId="0">
      <selection sqref="A1:L1"/>
    </sheetView>
  </sheetViews>
  <sheetFormatPr defaultRowHeight="12.75"/>
  <cols>
    <col min="1" max="1" width="5.85546875" customWidth="1"/>
    <col min="2" max="2" width="41.140625" customWidth="1"/>
    <col min="3" max="3" width="13" customWidth="1"/>
    <col min="4" max="4" width="10" customWidth="1"/>
    <col min="5" max="5" width="9.28515625" customWidth="1"/>
    <col min="6" max="6" width="10.7109375" customWidth="1"/>
    <col min="7" max="8" width="11.28515625" customWidth="1"/>
    <col min="9" max="9" width="11.5703125" customWidth="1"/>
    <col min="10" max="10" width="10.5703125" customWidth="1"/>
    <col min="11" max="12" width="8.5703125" customWidth="1"/>
    <col min="13" max="13" width="9.140625" customWidth="1"/>
  </cols>
  <sheetData>
    <row r="1" spans="1:13" ht="18.75">
      <c r="A1" s="1941" t="s">
        <v>644</v>
      </c>
      <c r="B1" s="1941"/>
      <c r="C1" s="1941"/>
      <c r="D1" s="1941"/>
      <c r="E1" s="1941"/>
      <c r="F1" s="1941"/>
      <c r="G1" s="1941"/>
      <c r="H1" s="1941"/>
      <c r="I1" s="1941"/>
      <c r="J1" s="1941"/>
      <c r="K1" s="1941"/>
      <c r="L1" s="1941"/>
      <c r="M1" s="461">
        <v>2020</v>
      </c>
    </row>
    <row r="2" spans="1:13" ht="20.25">
      <c r="A2" s="1942"/>
      <c r="B2" s="1942"/>
      <c r="C2" s="1942"/>
      <c r="D2" s="1942"/>
      <c r="E2" s="1942"/>
      <c r="F2" s="1942"/>
      <c r="G2" s="1942"/>
      <c r="H2" s="1942"/>
      <c r="I2" s="1942"/>
      <c r="J2" s="1942"/>
      <c r="K2" s="1942"/>
      <c r="L2" s="1942"/>
      <c r="M2" s="462"/>
    </row>
    <row r="3" spans="1:13" ht="18.75">
      <c r="A3" s="463"/>
      <c r="B3" s="464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</row>
    <row r="4" spans="1:13" ht="18.75">
      <c r="A4" s="465"/>
      <c r="B4" s="466"/>
      <c r="C4" s="465"/>
      <c r="D4" s="1943" t="s">
        <v>514</v>
      </c>
      <c r="E4" s="1943"/>
      <c r="F4" s="1943" t="s">
        <v>611</v>
      </c>
      <c r="G4" s="1943"/>
      <c r="H4" s="1943" t="s">
        <v>645</v>
      </c>
      <c r="I4" s="1943"/>
      <c r="J4" s="1943"/>
      <c r="K4" s="1943" t="s">
        <v>646</v>
      </c>
      <c r="L4" s="1943"/>
      <c r="M4" s="1943"/>
    </row>
    <row r="5" spans="1:13">
      <c r="A5" s="467" t="s">
        <v>244</v>
      </c>
      <c r="B5" s="465" t="s">
        <v>647</v>
      </c>
      <c r="C5" s="426" t="s">
        <v>270</v>
      </c>
      <c r="D5" s="468">
        <v>2019</v>
      </c>
      <c r="E5" s="468">
        <v>2020</v>
      </c>
      <c r="F5" s="469">
        <v>2021</v>
      </c>
      <c r="G5" s="469">
        <v>2022</v>
      </c>
      <c r="H5" s="469">
        <f t="shared" ref="H5:M5" si="0">E5</f>
        <v>2020</v>
      </c>
      <c r="I5" s="469">
        <f t="shared" si="0"/>
        <v>2021</v>
      </c>
      <c r="J5" s="469">
        <f t="shared" si="0"/>
        <v>2022</v>
      </c>
      <c r="K5" s="469">
        <f t="shared" si="0"/>
        <v>2020</v>
      </c>
      <c r="L5" s="469">
        <f t="shared" si="0"/>
        <v>2021</v>
      </c>
      <c r="M5" s="469">
        <f t="shared" si="0"/>
        <v>2022</v>
      </c>
    </row>
    <row r="6" spans="1:13">
      <c r="A6" s="470"/>
      <c r="B6" s="471" t="s">
        <v>648</v>
      </c>
      <c r="C6" s="472"/>
      <c r="D6" s="472"/>
      <c r="E6" s="472"/>
      <c r="F6" s="426"/>
      <c r="G6" s="426"/>
      <c r="H6" s="426"/>
      <c r="I6" s="426"/>
      <c r="J6" s="426"/>
      <c r="K6" s="426"/>
      <c r="L6" s="426"/>
      <c r="M6" s="426"/>
    </row>
    <row r="7" spans="1:13">
      <c r="A7" s="470">
        <v>1</v>
      </c>
      <c r="B7" s="473" t="s">
        <v>649</v>
      </c>
      <c r="C7" s="470" t="s">
        <v>590</v>
      </c>
      <c r="D7" s="474">
        <v>29128</v>
      </c>
      <c r="E7" s="474">
        <f>'Информация о согл. объемах'!D8*1000</f>
        <v>28971.699999999997</v>
      </c>
      <c r="F7" s="474">
        <f>F8+F14</f>
        <v>27162</v>
      </c>
      <c r="G7" s="474">
        <f>G8+G14</f>
        <v>28992</v>
      </c>
      <c r="H7" s="475">
        <f>E7-D7</f>
        <v>-156.30000000000291</v>
      </c>
      <c r="I7" s="475">
        <f>F7-E7</f>
        <v>-1809.6999999999971</v>
      </c>
      <c r="J7" s="475">
        <f>G7-F7</f>
        <v>1830</v>
      </c>
      <c r="K7" s="476">
        <f>IF(D7=0," ",E7/D7)</f>
        <v>0.99463402911288101</v>
      </c>
      <c r="L7" s="476">
        <f>IF(E7=0," ",F7/E7)</f>
        <v>0.93753559508071682</v>
      </c>
      <c r="M7" s="476">
        <f t="shared" ref="L7:M17" si="1">IF(F7=0," ",G7/F7)</f>
        <v>1.0673735365584271</v>
      </c>
    </row>
    <row r="8" spans="1:13">
      <c r="A8" s="477">
        <v>2</v>
      </c>
      <c r="B8" s="478" t="s">
        <v>650</v>
      </c>
      <c r="C8" s="477" t="s">
        <v>590</v>
      </c>
      <c r="D8" s="479">
        <f>D9+D10</f>
        <v>6474</v>
      </c>
      <c r="E8" s="479">
        <f>E9+E10</f>
        <v>6988.2</v>
      </c>
      <c r="F8" s="479">
        <f>F9+F10</f>
        <v>4555.0000000000009</v>
      </c>
      <c r="G8" s="479">
        <f>G9+G10</f>
        <v>5696.7999999999993</v>
      </c>
      <c r="H8" s="480">
        <f t="shared" ref="H8:J23" si="2">E8-D8</f>
        <v>514.19999999999982</v>
      </c>
      <c r="I8" s="480">
        <f t="shared" si="2"/>
        <v>-2433.1999999999989</v>
      </c>
      <c r="J8" s="480">
        <f t="shared" si="2"/>
        <v>1141.7999999999984</v>
      </c>
      <c r="K8" s="481">
        <f t="shared" ref="K8:K17" si="3">IF(D8=0," ",E8/D8)</f>
        <v>1.0794253938832252</v>
      </c>
      <c r="L8" s="481">
        <f t="shared" si="1"/>
        <v>0.65181305629489728</v>
      </c>
      <c r="M8" s="481">
        <f t="shared" si="1"/>
        <v>1.2506695938529084</v>
      </c>
    </row>
    <row r="9" spans="1:13">
      <c r="A9" s="477" t="s">
        <v>247</v>
      </c>
      <c r="B9" s="482" t="s">
        <v>651</v>
      </c>
      <c r="C9" s="477" t="s">
        <v>590</v>
      </c>
      <c r="D9" s="483"/>
      <c r="E9" s="483"/>
      <c r="F9" s="483"/>
      <c r="G9" s="483"/>
      <c r="H9" s="480">
        <f t="shared" si="2"/>
        <v>0</v>
      </c>
      <c r="I9" s="480">
        <f t="shared" si="2"/>
        <v>0</v>
      </c>
      <c r="J9" s="480">
        <f t="shared" si="2"/>
        <v>0</v>
      </c>
      <c r="K9" s="481" t="str">
        <f t="shared" si="3"/>
        <v xml:space="preserve"> </v>
      </c>
      <c r="L9" s="481" t="str">
        <f t="shared" si="1"/>
        <v xml:space="preserve"> </v>
      </c>
      <c r="M9" s="481" t="str">
        <f t="shared" si="1"/>
        <v xml:space="preserve"> </v>
      </c>
    </row>
    <row r="10" spans="1:13">
      <c r="A10" s="477" t="s">
        <v>248</v>
      </c>
      <c r="B10" s="482" t="s">
        <v>652</v>
      </c>
      <c r="C10" s="477" t="s">
        <v>590</v>
      </c>
      <c r="D10" s="479">
        <f>'Свод долгосрочный '!D108</f>
        <v>6474</v>
      </c>
      <c r="E10" s="479">
        <f>'Свод долгосрочный '!I108</f>
        <v>6988.2</v>
      </c>
      <c r="F10" s="479">
        <f>'Свод долгосрочный '!E109</f>
        <v>4555.0000000000009</v>
      </c>
      <c r="G10" s="479">
        <f>'Свод долгосрочный '!K109</f>
        <v>5696.7999999999993</v>
      </c>
      <c r="H10" s="480">
        <f t="shared" si="2"/>
        <v>514.19999999999982</v>
      </c>
      <c r="I10" s="480">
        <f t="shared" si="2"/>
        <v>-2433.1999999999989</v>
      </c>
      <c r="J10" s="480">
        <f t="shared" si="2"/>
        <v>1141.7999999999984</v>
      </c>
      <c r="K10" s="481">
        <f t="shared" si="3"/>
        <v>1.0794253938832252</v>
      </c>
      <c r="L10" s="481">
        <f t="shared" si="1"/>
        <v>0.65181305629489728</v>
      </c>
      <c r="M10" s="481">
        <f t="shared" si="1"/>
        <v>1.2506695938529084</v>
      </c>
    </row>
    <row r="11" spans="1:13">
      <c r="A11" s="477">
        <v>3</v>
      </c>
      <c r="B11" s="478" t="s">
        <v>653</v>
      </c>
      <c r="C11" s="484" t="s">
        <v>283</v>
      </c>
      <c r="D11" s="485">
        <f>IF(D8=0," ",D8/D7)</f>
        <v>0.22226036803076077</v>
      </c>
      <c r="E11" s="485">
        <f>IF(E8=0," ",E8/E7)</f>
        <v>0.24120779933521336</v>
      </c>
      <c r="F11" s="485">
        <f>IF(F8=0," ",F8/F7)</f>
        <v>0.16769751859215085</v>
      </c>
      <c r="G11" s="485">
        <f>IF(G8=0," ",G8/G7)</f>
        <v>0.19649558498896244</v>
      </c>
      <c r="H11" s="486">
        <f>E11-D11</f>
        <v>1.8947431304452589E-2</v>
      </c>
      <c r="I11" s="486">
        <f t="shared" si="2"/>
        <v>-7.3510280743062512E-2</v>
      </c>
      <c r="J11" s="486">
        <f t="shared" si="2"/>
        <v>2.8798066396811595E-2</v>
      </c>
      <c r="K11" s="481">
        <f t="shared" si="3"/>
        <v>1.085248807388955</v>
      </c>
      <c r="L11" s="481">
        <f t="shared" si="1"/>
        <v>0.69524086308294208</v>
      </c>
      <c r="M11" s="481">
        <f t="shared" si="1"/>
        <v>1.1717262523535008</v>
      </c>
    </row>
    <row r="12" spans="1:13">
      <c r="A12" s="487" t="s">
        <v>301</v>
      </c>
      <c r="B12" s="482" t="s">
        <v>651</v>
      </c>
      <c r="C12" s="484" t="s">
        <v>283</v>
      </c>
      <c r="D12" s="485">
        <f>IF(D9=0,0,D9/(D9+D15))</f>
        <v>0</v>
      </c>
      <c r="E12" s="485">
        <f t="shared" ref="E12:G13" si="4">IF(E9=0,0,E9/(E9+E15))</f>
        <v>0</v>
      </c>
      <c r="F12" s="485">
        <f t="shared" si="4"/>
        <v>0</v>
      </c>
      <c r="G12" s="485">
        <f t="shared" si="4"/>
        <v>0</v>
      </c>
      <c r="H12" s="486">
        <f t="shared" si="2"/>
        <v>0</v>
      </c>
      <c r="I12" s="486">
        <f t="shared" si="2"/>
        <v>0</v>
      </c>
      <c r="J12" s="486">
        <f t="shared" si="2"/>
        <v>0</v>
      </c>
      <c r="K12" s="481" t="str">
        <f t="shared" si="3"/>
        <v xml:space="preserve"> </v>
      </c>
      <c r="L12" s="481" t="str">
        <f t="shared" si="1"/>
        <v xml:space="preserve"> </v>
      </c>
      <c r="M12" s="481" t="str">
        <f t="shared" si="1"/>
        <v xml:space="preserve"> </v>
      </c>
    </row>
    <row r="13" spans="1:13">
      <c r="A13" s="487" t="s">
        <v>302</v>
      </c>
      <c r="B13" s="482" t="s">
        <v>652</v>
      </c>
      <c r="C13" s="484" t="s">
        <v>283</v>
      </c>
      <c r="D13" s="485">
        <f>IF(D10=0,0,D10/(D10+D16))</f>
        <v>0.22226036803076077</v>
      </c>
      <c r="E13" s="485">
        <f t="shared" si="4"/>
        <v>0.24120779933521333</v>
      </c>
      <c r="F13" s="485">
        <f t="shared" si="4"/>
        <v>0.16769751859215085</v>
      </c>
      <c r="G13" s="485">
        <f t="shared" si="4"/>
        <v>0.19649558498896247</v>
      </c>
      <c r="H13" s="486">
        <f t="shared" si="2"/>
        <v>1.8947431304452561E-2</v>
      </c>
      <c r="I13" s="486">
        <f>F13-E13</f>
        <v>-7.3510280743062484E-2</v>
      </c>
      <c r="J13" s="486">
        <f t="shared" si="2"/>
        <v>2.8798066396811622E-2</v>
      </c>
      <c r="K13" s="481">
        <f t="shared" si="3"/>
        <v>1.085248807388955</v>
      </c>
      <c r="L13" s="481">
        <f t="shared" si="1"/>
        <v>0.6952408630829422</v>
      </c>
      <c r="M13" s="481">
        <f t="shared" si="1"/>
        <v>1.171726252353501</v>
      </c>
    </row>
    <row r="14" spans="1:13">
      <c r="A14" s="477">
        <v>4</v>
      </c>
      <c r="B14" s="478" t="s">
        <v>654</v>
      </c>
      <c r="C14" s="477" t="s">
        <v>590</v>
      </c>
      <c r="D14" s="479">
        <f>'Свод долгосрочный '!D125</f>
        <v>22654</v>
      </c>
      <c r="E14" s="479">
        <f>'Информация о согл. объемах'!D13*1000</f>
        <v>21983.5</v>
      </c>
      <c r="F14" s="479">
        <f>'Свод долгосрочный '!E125</f>
        <v>22607</v>
      </c>
      <c r="G14" s="479">
        <f>'Свод долгосрочный '!K125</f>
        <v>23295.200000000001</v>
      </c>
      <c r="H14" s="480">
        <f t="shared" si="2"/>
        <v>-670.5</v>
      </c>
      <c r="I14" s="480">
        <f t="shared" si="2"/>
        <v>623.5</v>
      </c>
      <c r="J14" s="480">
        <f t="shared" si="2"/>
        <v>688.20000000000073</v>
      </c>
      <c r="K14" s="481">
        <f t="shared" si="3"/>
        <v>0.97040257791118567</v>
      </c>
      <c r="L14" s="481">
        <f t="shared" si="1"/>
        <v>1.028362180726454</v>
      </c>
      <c r="M14" s="481">
        <f t="shared" si="1"/>
        <v>1.030441898527005</v>
      </c>
    </row>
    <row r="15" spans="1:13">
      <c r="A15" s="477" t="s">
        <v>303</v>
      </c>
      <c r="B15" s="482" t="s">
        <v>655</v>
      </c>
      <c r="C15" s="477" t="s">
        <v>590</v>
      </c>
      <c r="D15" s="483">
        <f>D14-D16</f>
        <v>0</v>
      </c>
      <c r="E15" s="483">
        <f>E14-E16</f>
        <v>0</v>
      </c>
      <c r="F15" s="483">
        <f>F14-F16</f>
        <v>0</v>
      </c>
      <c r="G15" s="483">
        <f>G14-G16</f>
        <v>0</v>
      </c>
      <c r="H15" s="480">
        <f t="shared" si="2"/>
        <v>0</v>
      </c>
      <c r="I15" s="480">
        <f t="shared" si="2"/>
        <v>0</v>
      </c>
      <c r="J15" s="480">
        <f t="shared" si="2"/>
        <v>0</v>
      </c>
      <c r="K15" s="481" t="str">
        <f t="shared" si="3"/>
        <v xml:space="preserve"> </v>
      </c>
      <c r="L15" s="481" t="str">
        <f t="shared" si="1"/>
        <v xml:space="preserve"> </v>
      </c>
      <c r="M15" s="481" t="str">
        <f t="shared" si="1"/>
        <v xml:space="preserve"> </v>
      </c>
    </row>
    <row r="16" spans="1:13">
      <c r="A16" s="477" t="s">
        <v>304</v>
      </c>
      <c r="B16" s="482" t="s">
        <v>656</v>
      </c>
      <c r="C16" s="477" t="s">
        <v>590</v>
      </c>
      <c r="D16" s="479">
        <f>'Свод долгосрочный '!D125</f>
        <v>22654</v>
      </c>
      <c r="E16" s="479">
        <f>'Информация о согл. объемах'!D13*1000</f>
        <v>21983.5</v>
      </c>
      <c r="F16" s="479">
        <f>'Свод долгосрочный '!E126</f>
        <v>22607</v>
      </c>
      <c r="G16" s="479">
        <f>'Свод долгосрочный '!K126</f>
        <v>23295.199999999997</v>
      </c>
      <c r="H16" s="480">
        <f t="shared" si="2"/>
        <v>-670.5</v>
      </c>
      <c r="I16" s="480">
        <f t="shared" si="2"/>
        <v>623.5</v>
      </c>
      <c r="J16" s="480">
        <f t="shared" si="2"/>
        <v>688.19999999999709</v>
      </c>
      <c r="K16" s="481">
        <f t="shared" si="3"/>
        <v>0.97040257791118567</v>
      </c>
      <c r="L16" s="481">
        <f t="shared" si="1"/>
        <v>1.028362180726454</v>
      </c>
      <c r="M16" s="481">
        <f t="shared" si="1"/>
        <v>1.0304418985270047</v>
      </c>
    </row>
    <row r="17" spans="1:13">
      <c r="A17" s="477" t="s">
        <v>657</v>
      </c>
      <c r="B17" s="482" t="s">
        <v>658</v>
      </c>
      <c r="C17" s="477" t="s">
        <v>283</v>
      </c>
      <c r="D17" s="488">
        <f>IF(D14=0,0,D16/D14)</f>
        <v>1</v>
      </c>
      <c r="E17" s="488">
        <f>IF(E14=0,0,E16/E14)</f>
        <v>1</v>
      </c>
      <c r="F17" s="488">
        <f>IF(F14=0,0,F16/F14)</f>
        <v>1</v>
      </c>
      <c r="G17" s="488">
        <f>IF(G14=0,0,G16/G14)</f>
        <v>0.99999999999999989</v>
      </c>
      <c r="H17" s="486">
        <f t="shared" si="2"/>
        <v>0</v>
      </c>
      <c r="I17" s="486">
        <f>F17-E17</f>
        <v>0</v>
      </c>
      <c r="J17" s="486">
        <f t="shared" si="2"/>
        <v>0</v>
      </c>
      <c r="K17" s="481">
        <f t="shared" si="3"/>
        <v>1</v>
      </c>
      <c r="L17" s="481">
        <f t="shared" si="1"/>
        <v>1</v>
      </c>
      <c r="M17" s="481">
        <f t="shared" si="1"/>
        <v>0.99999999999999989</v>
      </c>
    </row>
    <row r="18" spans="1:13">
      <c r="A18" s="470"/>
      <c r="B18" s="471" t="s">
        <v>659</v>
      </c>
      <c r="C18" s="489"/>
      <c r="D18" s="489"/>
      <c r="E18" s="489"/>
      <c r="F18" s="426"/>
      <c r="G18" s="426"/>
      <c r="H18" s="480"/>
      <c r="I18" s="480"/>
      <c r="J18" s="480"/>
      <c r="K18" s="481"/>
      <c r="L18" s="481"/>
      <c r="M18" s="481"/>
    </row>
    <row r="19" spans="1:13">
      <c r="A19" s="470">
        <v>1</v>
      </c>
      <c r="B19" s="473" t="s">
        <v>660</v>
      </c>
      <c r="C19" s="470" t="s">
        <v>295</v>
      </c>
      <c r="D19" s="490">
        <f>D21+D22</f>
        <v>44150.151366945895</v>
      </c>
      <c r="E19" s="490">
        <f t="shared" ref="E19" si="5">E21+E22</f>
        <v>0</v>
      </c>
      <c r="F19" s="490">
        <f>F21+F22</f>
        <v>44406.131512635227</v>
      </c>
      <c r="G19" s="490">
        <f>G21+G22</f>
        <v>63852.063172114104</v>
      </c>
      <c r="H19" s="475">
        <f>E19-D19</f>
        <v>-44150.151366945895</v>
      </c>
      <c r="I19" s="475">
        <f t="shared" si="2"/>
        <v>44406.131512635227</v>
      </c>
      <c r="J19" s="475">
        <f t="shared" si="2"/>
        <v>19445.931659478876</v>
      </c>
      <c r="K19" s="476">
        <f t="shared" ref="K19:M23" si="6">IF(D19=0," ",E19/D19)</f>
        <v>0</v>
      </c>
      <c r="L19" s="476" t="str">
        <f t="shared" si="6"/>
        <v xml:space="preserve"> </v>
      </c>
      <c r="M19" s="476">
        <f t="shared" si="6"/>
        <v>1.4379109595247173</v>
      </c>
    </row>
    <row r="20" spans="1:13">
      <c r="A20" s="491" t="s">
        <v>403</v>
      </c>
      <c r="B20" s="478" t="s">
        <v>661</v>
      </c>
      <c r="C20" s="477"/>
      <c r="D20" s="492">
        <f>D21+D22</f>
        <v>44150.151366945895</v>
      </c>
      <c r="E20" s="492">
        <f t="shared" ref="E20" si="7">E21+E22</f>
        <v>0</v>
      </c>
      <c r="F20" s="492">
        <f>F21+F22</f>
        <v>44406.131512635227</v>
      </c>
      <c r="G20" s="492">
        <f>G21+G22</f>
        <v>63852.063172114104</v>
      </c>
      <c r="H20" s="480">
        <f>E20-D20</f>
        <v>-44150.151366945895</v>
      </c>
      <c r="I20" s="480">
        <f>F20-E20</f>
        <v>44406.131512635227</v>
      </c>
      <c r="J20" s="480">
        <f>G20-F20</f>
        <v>19445.931659478876</v>
      </c>
      <c r="K20" s="481">
        <f>IF(D20=0," ",E20/D20)</f>
        <v>0</v>
      </c>
      <c r="L20" s="481" t="str">
        <f t="shared" si="6"/>
        <v xml:space="preserve"> </v>
      </c>
      <c r="M20" s="481">
        <f t="shared" si="6"/>
        <v>1.4379109595247173</v>
      </c>
    </row>
    <row r="21" spans="1:13">
      <c r="A21" s="477"/>
      <c r="B21" s="478" t="s">
        <v>1410</v>
      </c>
      <c r="C21" s="477" t="s">
        <v>295</v>
      </c>
      <c r="D21" s="492">
        <f>'Свод долгосрочный '!D85</f>
        <v>31392.993274640696</v>
      </c>
      <c r="E21" s="492"/>
      <c r="F21" s="492">
        <f>'Свод долгосрочный '!E85</f>
        <v>30457.586217212443</v>
      </c>
      <c r="G21" s="492">
        <f>'Свод долгосрочный '!K85</f>
        <v>41841.828889114266</v>
      </c>
      <c r="H21" s="480">
        <f t="shared" si="2"/>
        <v>-31392.993274640696</v>
      </c>
      <c r="I21" s="480">
        <f t="shared" si="2"/>
        <v>30457.586217212443</v>
      </c>
      <c r="J21" s="480">
        <f t="shared" si="2"/>
        <v>11384.242671901822</v>
      </c>
      <c r="K21" s="481">
        <f t="shared" si="6"/>
        <v>0</v>
      </c>
      <c r="L21" s="481" t="str">
        <f t="shared" si="6"/>
        <v xml:space="preserve"> </v>
      </c>
      <c r="M21" s="481">
        <f t="shared" si="6"/>
        <v>1.3737736336265631</v>
      </c>
    </row>
    <row r="22" spans="1:13">
      <c r="A22" s="491" t="s">
        <v>404</v>
      </c>
      <c r="B22" s="482" t="s">
        <v>662</v>
      </c>
      <c r="C22" s="477" t="s">
        <v>295</v>
      </c>
      <c r="D22" s="492">
        <f>'Свод долгосрочный '!D146</f>
        <v>12757.158092305202</v>
      </c>
      <c r="E22" s="492"/>
      <c r="F22" s="492">
        <f>'Свод долгосрочный '!E146</f>
        <v>13948.545295422782</v>
      </c>
      <c r="G22" s="492">
        <f>'Свод долгосрочный '!K146</f>
        <v>22010.234282999838</v>
      </c>
      <c r="H22" s="480">
        <f t="shared" si="2"/>
        <v>-12757.158092305202</v>
      </c>
      <c r="I22" s="480">
        <f t="shared" si="2"/>
        <v>13948.545295422782</v>
      </c>
      <c r="J22" s="480">
        <f t="shared" si="2"/>
        <v>8061.6889875770557</v>
      </c>
      <c r="K22" s="481">
        <f t="shared" si="6"/>
        <v>0</v>
      </c>
      <c r="L22" s="481" t="str">
        <f t="shared" si="6"/>
        <v xml:space="preserve"> </v>
      </c>
      <c r="M22" s="481">
        <f t="shared" si="6"/>
        <v>1.5779591216743225</v>
      </c>
    </row>
    <row r="23" spans="1:13">
      <c r="A23" s="491" t="s">
        <v>663</v>
      </c>
      <c r="B23" s="482" t="s">
        <v>664</v>
      </c>
      <c r="C23" s="477" t="s">
        <v>665</v>
      </c>
      <c r="D23" s="493">
        <f>IF(D10=0,0,D22/D10)</f>
        <v>1.9705217936832256</v>
      </c>
      <c r="E23" s="493">
        <f>IF(E10=0,0,E22/E10)</f>
        <v>0</v>
      </c>
      <c r="F23" s="493">
        <f>IF(F10=0,0,F22/F10)</f>
        <v>3.0622492415856817</v>
      </c>
      <c r="G23" s="493">
        <f>IF(G10=0,0,G22/G10)</f>
        <v>3.86361365731636</v>
      </c>
      <c r="H23" s="480">
        <f t="shared" si="2"/>
        <v>-1.9705217936832256</v>
      </c>
      <c r="I23" s="480">
        <f t="shared" si="2"/>
        <v>3.0622492415856817</v>
      </c>
      <c r="J23" s="480">
        <f t="shared" si="2"/>
        <v>0.80136441573067829</v>
      </c>
      <c r="K23" s="481">
        <f t="shared" si="6"/>
        <v>0</v>
      </c>
      <c r="L23" s="481" t="str">
        <f t="shared" si="6"/>
        <v xml:space="preserve"> </v>
      </c>
      <c r="M23" s="481">
        <f t="shared" si="6"/>
        <v>1.2616914406731043</v>
      </c>
    </row>
    <row r="24" spans="1:13">
      <c r="A24" s="494"/>
      <c r="B24" s="495"/>
      <c r="C24" s="496"/>
      <c r="D24" s="497"/>
      <c r="E24" s="497"/>
      <c r="F24" s="497"/>
      <c r="G24" s="497"/>
      <c r="H24" s="497"/>
      <c r="I24" s="497"/>
      <c r="J24" s="497"/>
      <c r="K24" s="497"/>
      <c r="L24" s="497"/>
      <c r="M24" s="497"/>
    </row>
    <row r="25" spans="1:13">
      <c r="A25" s="463"/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</row>
    <row r="26" spans="1:13">
      <c r="A26" s="463"/>
      <c r="B26" s="463" t="s">
        <v>666</v>
      </c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</row>
    <row r="28" spans="1:13" ht="15.75">
      <c r="B28" s="729" t="s">
        <v>790</v>
      </c>
    </row>
    <row r="29" spans="1:13" ht="15.75">
      <c r="B29" s="729"/>
    </row>
    <row r="31" spans="1:13">
      <c r="A31" s="467" t="s">
        <v>244</v>
      </c>
      <c r="B31" s="473" t="s">
        <v>563</v>
      </c>
      <c r="C31" s="426" t="s">
        <v>270</v>
      </c>
      <c r="D31" s="470">
        <v>2020</v>
      </c>
      <c r="E31" s="470">
        <v>2021</v>
      </c>
      <c r="F31" s="470">
        <v>2022</v>
      </c>
      <c r="G31" s="470">
        <v>2023</v>
      </c>
      <c r="H31" s="470">
        <v>2024</v>
      </c>
    </row>
    <row r="32" spans="1:13" ht="24">
      <c r="A32" s="477">
        <v>1</v>
      </c>
      <c r="B32" s="478" t="s">
        <v>787</v>
      </c>
      <c r="C32" s="477" t="s">
        <v>295</v>
      </c>
      <c r="D32" s="477"/>
      <c r="E32" s="477"/>
      <c r="F32" s="477"/>
      <c r="G32" s="238"/>
      <c r="H32" s="238"/>
    </row>
    <row r="33" spans="1:8" ht="24">
      <c r="A33" s="477">
        <v>2</v>
      </c>
      <c r="B33" s="478" t="s">
        <v>788</v>
      </c>
      <c r="C33" s="477" t="s">
        <v>295</v>
      </c>
      <c r="D33" s="477"/>
      <c r="E33" s="477"/>
      <c r="F33" s="477"/>
      <c r="G33" s="238"/>
      <c r="H33" s="238"/>
    </row>
    <row r="34" spans="1:8">
      <c r="A34" s="477">
        <v>3</v>
      </c>
      <c r="B34" s="478" t="s">
        <v>789</v>
      </c>
      <c r="C34" s="477" t="s">
        <v>295</v>
      </c>
      <c r="D34" s="477"/>
      <c r="E34" s="477"/>
      <c r="F34" s="477"/>
      <c r="G34" s="238"/>
      <c r="H34" s="238"/>
    </row>
    <row r="36" spans="1:8" ht="15.75">
      <c r="B36" s="729" t="s">
        <v>791</v>
      </c>
    </row>
    <row r="37" spans="1:8" ht="15.75">
      <c r="B37" s="21"/>
    </row>
    <row r="38" spans="1:8" ht="15.75">
      <c r="B38" s="730" t="s">
        <v>563</v>
      </c>
      <c r="C38" s="730">
        <v>2020</v>
      </c>
      <c r="D38" s="730">
        <v>2021</v>
      </c>
      <c r="E38" s="730">
        <v>2022</v>
      </c>
      <c r="F38" s="730">
        <v>2023</v>
      </c>
      <c r="G38" s="735">
        <v>2024</v>
      </c>
    </row>
    <row r="39" spans="1:8" ht="31.5">
      <c r="B39" s="731" t="s">
        <v>792</v>
      </c>
      <c r="C39" s="732">
        <f>SUM(C40:C43)</f>
        <v>0</v>
      </c>
      <c r="D39" s="732">
        <f>SUM(D40:D43)</f>
        <v>0</v>
      </c>
      <c r="E39" s="740">
        <f>SUM(E40:E43)</f>
        <v>0</v>
      </c>
      <c r="F39" s="740">
        <f>SUM(F40:F43)</f>
        <v>0</v>
      </c>
      <c r="G39" s="740">
        <f>SUM(G40:G43)</f>
        <v>0</v>
      </c>
    </row>
    <row r="40" spans="1:8" ht="15.75">
      <c r="B40" s="733" t="s">
        <v>384</v>
      </c>
      <c r="C40" s="734"/>
      <c r="D40" s="734"/>
      <c r="E40" s="738"/>
      <c r="F40" s="738"/>
      <c r="G40" s="739"/>
    </row>
    <row r="41" spans="1:8" ht="15.75">
      <c r="B41" s="733" t="s">
        <v>394</v>
      </c>
      <c r="C41" s="734"/>
      <c r="D41" s="734"/>
      <c r="E41" s="738"/>
      <c r="F41" s="738"/>
      <c r="G41" s="739"/>
    </row>
    <row r="42" spans="1:8" ht="15.75">
      <c r="B42" s="733" t="s">
        <v>395</v>
      </c>
      <c r="C42" s="734"/>
      <c r="D42" s="734"/>
      <c r="E42" s="738"/>
      <c r="F42" s="738"/>
      <c r="G42" s="739"/>
    </row>
    <row r="43" spans="1:8" ht="15.75">
      <c r="B43" s="733" t="s">
        <v>401</v>
      </c>
      <c r="C43" s="734"/>
      <c r="D43" s="734"/>
      <c r="E43" s="738"/>
      <c r="F43" s="738"/>
      <c r="G43" s="739"/>
    </row>
    <row r="45" spans="1:8" ht="15.75">
      <c r="B45" s="729" t="s">
        <v>801</v>
      </c>
    </row>
    <row r="47" spans="1:8" ht="14.25">
      <c r="B47" s="728" t="s">
        <v>563</v>
      </c>
      <c r="C47" s="728" t="s">
        <v>264</v>
      </c>
      <c r="D47" s="728">
        <v>2020</v>
      </c>
      <c r="E47" s="728">
        <v>2021</v>
      </c>
      <c r="F47" s="728">
        <v>2022</v>
      </c>
      <c r="G47" s="728">
        <v>2023</v>
      </c>
      <c r="H47" s="852">
        <v>2024</v>
      </c>
    </row>
    <row r="48" spans="1:8" ht="15.75">
      <c r="B48" s="736" t="s">
        <v>793</v>
      </c>
      <c r="C48" s="4" t="s">
        <v>794</v>
      </c>
      <c r="D48" s="734">
        <f>'Свод долгосрочный '!K130</f>
        <v>4.2355</v>
      </c>
      <c r="E48" s="734">
        <f>'Свод долгосрочный '!L130</f>
        <v>4.2355</v>
      </c>
      <c r="F48" s="734">
        <f>'Свод долгосрочный '!M130</f>
        <v>4.2355</v>
      </c>
      <c r="G48" s="734">
        <f>'Свод долгосрочный '!N130</f>
        <v>4.2355</v>
      </c>
      <c r="H48" s="734" t="e">
        <f>'Свод долгосрочный '!#REF!</f>
        <v>#REF!</v>
      </c>
    </row>
    <row r="49" spans="2:8" ht="15.75">
      <c r="B49" s="736" t="s">
        <v>795</v>
      </c>
      <c r="C49" s="4" t="s">
        <v>796</v>
      </c>
      <c r="D49" s="732">
        <f>'Свод долгосрочный '!K131</f>
        <v>26.714999999999993</v>
      </c>
      <c r="E49" s="732">
        <f>'Свод долгосрочный '!L131</f>
        <v>26.714999999999993</v>
      </c>
      <c r="F49" s="732">
        <f>'Свод долгосрочный '!M131</f>
        <v>26.714999999999993</v>
      </c>
      <c r="G49" s="732">
        <f>'Свод долгосрочный '!N131</f>
        <v>26.714999999999993</v>
      </c>
      <c r="H49" s="732" t="e">
        <f>'Свод долгосрочный '!#REF!</f>
        <v>#REF!</v>
      </c>
    </row>
    <row r="50" spans="2:8" ht="15.75">
      <c r="B50" s="736" t="s">
        <v>797</v>
      </c>
      <c r="C50" s="4" t="s">
        <v>798</v>
      </c>
      <c r="D50" s="737">
        <f>'Свод долгосрочный '!K102</f>
        <v>28992</v>
      </c>
      <c r="E50" s="737">
        <f>'Свод долгосрочный '!L102</f>
        <v>28707</v>
      </c>
      <c r="F50" s="737">
        <f>'Свод долгосрочный '!M102</f>
        <v>28707</v>
      </c>
      <c r="G50" s="737">
        <f>'Свод долгосрочный '!N102</f>
        <v>28707</v>
      </c>
      <c r="H50" s="737" t="e">
        <f>'Свод долгосрочный '!#REF!</f>
        <v>#REF!</v>
      </c>
    </row>
    <row r="51" spans="2:8" ht="15.75">
      <c r="B51" s="736" t="s">
        <v>799</v>
      </c>
      <c r="C51" s="4" t="s">
        <v>798</v>
      </c>
      <c r="D51" s="737">
        <f>'Свод долгосрочный '!K125</f>
        <v>23295.200000000001</v>
      </c>
      <c r="E51" s="737">
        <f>'Свод долгосрочный '!L125</f>
        <v>23010.2</v>
      </c>
      <c r="F51" s="737">
        <f>'Свод долгосрочный '!M125</f>
        <v>23010.2</v>
      </c>
      <c r="G51" s="737">
        <f>'Свод долгосрочный '!N125</f>
        <v>23010.2</v>
      </c>
      <c r="H51" s="737" t="e">
        <f>'Свод долгосрочный '!#REF!</f>
        <v>#REF!</v>
      </c>
    </row>
    <row r="52" spans="2:8" ht="15.75">
      <c r="B52" s="736" t="s">
        <v>800</v>
      </c>
      <c r="C52" s="4" t="s">
        <v>798</v>
      </c>
      <c r="D52" s="738">
        <f>'Свод долгосрочный '!K109</f>
        <v>5696.7999999999993</v>
      </c>
      <c r="E52" s="738">
        <f>'Свод долгосрочный '!L109</f>
        <v>5696.7999999999993</v>
      </c>
      <c r="F52" s="738">
        <f>'Свод долгосрочный '!M109</f>
        <v>5696.7999999999993</v>
      </c>
      <c r="G52" s="738">
        <f>'Свод долгосрочный '!N109</f>
        <v>5696.7999999999993</v>
      </c>
      <c r="H52" s="738" t="e">
        <f>'Свод долгосрочный '!#REF!</f>
        <v>#REF!</v>
      </c>
    </row>
  </sheetData>
  <mergeCells count="6">
    <mergeCell ref="A1:L1"/>
    <mergeCell ref="A2:L2"/>
    <mergeCell ref="D4:E4"/>
    <mergeCell ref="F4:G4"/>
    <mergeCell ref="H4:J4"/>
    <mergeCell ref="K4:M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K50"/>
  <sheetViews>
    <sheetView workbookViewId="0">
      <selection sqref="A1:XFD1048576"/>
    </sheetView>
  </sheetViews>
  <sheetFormatPr defaultRowHeight="15"/>
  <cols>
    <col min="1" max="1" width="52" style="1628" customWidth="1"/>
    <col min="2" max="2" width="6.85546875" style="1628" customWidth="1"/>
    <col min="3" max="3" width="17.42578125" style="1628" customWidth="1"/>
    <col min="4" max="4" width="16.7109375" style="1628" customWidth="1"/>
    <col min="5" max="5" width="14.7109375" style="1628" customWidth="1"/>
    <col min="6" max="6" width="13.42578125" style="1628" customWidth="1"/>
    <col min="7" max="7" width="14.42578125" style="1628" customWidth="1"/>
    <col min="8" max="9" width="13.42578125" style="1628" customWidth="1"/>
    <col min="10" max="11" width="14.5703125" style="1628" customWidth="1"/>
    <col min="12" max="16384" width="9.140625" style="1628"/>
  </cols>
  <sheetData>
    <row r="1" spans="1:11">
      <c r="A1" s="1944" t="str">
        <f>'[13]Свод долгосрочный '!B2</f>
        <v>МУ МПЖКХ Гусь-Железный</v>
      </c>
      <c r="B1" s="1944"/>
      <c r="C1" s="1944"/>
      <c r="D1" s="1944"/>
      <c r="E1" s="1944"/>
      <c r="F1" s="1944"/>
      <c r="G1" s="1944"/>
      <c r="H1" s="1944"/>
      <c r="I1" s="1944"/>
      <c r="J1" s="1944"/>
    </row>
    <row r="2" spans="1:11" s="1629" customFormat="1">
      <c r="A2" s="1944" t="s">
        <v>826</v>
      </c>
      <c r="B2" s="1944"/>
      <c r="C2" s="1944"/>
      <c r="D2" s="1944"/>
      <c r="E2" s="1944"/>
      <c r="F2" s="1944"/>
      <c r="G2" s="1944"/>
      <c r="H2" s="1944"/>
      <c r="I2" s="1944"/>
      <c r="J2" s="1944"/>
    </row>
    <row r="3" spans="1:11">
      <c r="A3" s="780"/>
      <c r="B3" s="780"/>
      <c r="C3" s="780"/>
      <c r="D3" s="780"/>
      <c r="E3" s="780"/>
      <c r="F3" s="780"/>
      <c r="G3" s="780"/>
      <c r="H3" s="780"/>
      <c r="I3" s="780"/>
      <c r="J3" s="781" t="s">
        <v>295</v>
      </c>
    </row>
    <row r="4" spans="1:11">
      <c r="A4" s="1939" t="s">
        <v>827</v>
      </c>
      <c r="B4" s="1630"/>
      <c r="C4" s="782"/>
      <c r="D4" s="782"/>
      <c r="E4" s="782"/>
      <c r="F4" s="782"/>
      <c r="G4" s="782"/>
      <c r="H4" s="1939" t="s">
        <v>828</v>
      </c>
      <c r="I4" s="1939"/>
      <c r="J4" s="1939"/>
      <c r="K4" s="1939"/>
    </row>
    <row r="5" spans="1:11" ht="42.75">
      <c r="A5" s="1939"/>
      <c r="B5" s="1631" t="s">
        <v>829</v>
      </c>
      <c r="C5" s="783" t="s">
        <v>1521</v>
      </c>
      <c r="D5" s="783" t="s">
        <v>1323</v>
      </c>
      <c r="E5" s="783" t="s">
        <v>960</v>
      </c>
      <c r="F5" s="784" t="s">
        <v>830</v>
      </c>
      <c r="G5" s="784" t="s">
        <v>831</v>
      </c>
      <c r="H5" s="784" t="s">
        <v>832</v>
      </c>
      <c r="I5" s="784" t="s">
        <v>833</v>
      </c>
      <c r="J5" s="784" t="s">
        <v>834</v>
      </c>
      <c r="K5" s="784" t="s">
        <v>835</v>
      </c>
    </row>
    <row r="6" spans="1:11" ht="19.5">
      <c r="A6" s="785" t="s">
        <v>836</v>
      </c>
      <c r="B6" s="786"/>
      <c r="C6" s="786"/>
      <c r="D6" s="786"/>
      <c r="E6" s="786"/>
      <c r="F6" s="786"/>
      <c r="G6" s="786"/>
      <c r="H6" s="786"/>
      <c r="I6" s="786"/>
      <c r="J6" s="786"/>
      <c r="K6" s="787"/>
    </row>
    <row r="7" spans="1:11" ht="16.5">
      <c r="A7" s="788" t="s">
        <v>837</v>
      </c>
      <c r="B7" s="788"/>
      <c r="C7" s="789"/>
      <c r="D7" s="789"/>
      <c r="E7" s="789"/>
      <c r="F7" s="789"/>
      <c r="G7" s="789"/>
      <c r="H7" s="789"/>
      <c r="I7" s="789"/>
      <c r="J7" s="789"/>
      <c r="K7" s="789"/>
    </row>
    <row r="8" spans="1:11">
      <c r="A8" s="790" t="s">
        <v>838</v>
      </c>
      <c r="B8" s="791">
        <v>1110</v>
      </c>
      <c r="C8" s="792"/>
      <c r="D8" s="792"/>
      <c r="E8" s="792"/>
      <c r="F8" s="793">
        <f>D8/$D$26</f>
        <v>0</v>
      </c>
      <c r="G8" s="793">
        <f>C8/$C$26</f>
        <v>0</v>
      </c>
      <c r="H8" s="794">
        <f>C8-D8</f>
        <v>0</v>
      </c>
      <c r="I8" s="793">
        <f>G8-F8</f>
        <v>0</v>
      </c>
      <c r="J8" s="1627" t="e">
        <f>H8/D8</f>
        <v>#DIV/0!</v>
      </c>
      <c r="K8" s="1627" t="e">
        <f>H8/C8</f>
        <v>#DIV/0!</v>
      </c>
    </row>
    <row r="9" spans="1:11">
      <c r="A9" s="790" t="s">
        <v>839</v>
      </c>
      <c r="B9" s="791">
        <v>1120</v>
      </c>
      <c r="C9" s="792"/>
      <c r="D9" s="792"/>
      <c r="E9" s="792"/>
      <c r="F9" s="793">
        <f>D9/$D$26</f>
        <v>0</v>
      </c>
      <c r="G9" s="793">
        <f t="shared" ref="G9:G17" si="0">C9/$C$26</f>
        <v>0</v>
      </c>
      <c r="H9" s="794">
        <f t="shared" ref="H9:H17" si="1">C9-D9</f>
        <v>0</v>
      </c>
      <c r="I9" s="793">
        <f>G9-F9</f>
        <v>0</v>
      </c>
      <c r="J9" s="1627" t="e">
        <f t="shared" ref="J9:J26" si="2">H9/D9</f>
        <v>#DIV/0!</v>
      </c>
      <c r="K9" s="1627" t="e">
        <f t="shared" ref="K9:K26" si="3">H9/C9</f>
        <v>#DIV/0!</v>
      </c>
    </row>
    <row r="10" spans="1:11">
      <c r="A10" s="790" t="s">
        <v>840</v>
      </c>
      <c r="B10" s="791">
        <v>1130</v>
      </c>
      <c r="C10" s="792"/>
      <c r="D10" s="792"/>
      <c r="E10" s="792"/>
      <c r="F10" s="793">
        <f t="shared" ref="F10:F17" si="4">D10/$D$26</f>
        <v>0</v>
      </c>
      <c r="G10" s="793">
        <f>C10/$C$26</f>
        <v>0</v>
      </c>
      <c r="H10" s="794">
        <f t="shared" si="1"/>
        <v>0</v>
      </c>
      <c r="I10" s="793">
        <f>G10-F10</f>
        <v>0</v>
      </c>
      <c r="J10" s="1627" t="e">
        <f t="shared" si="2"/>
        <v>#DIV/0!</v>
      </c>
      <c r="K10" s="1627" t="e">
        <f t="shared" si="3"/>
        <v>#DIV/0!</v>
      </c>
    </row>
    <row r="11" spans="1:11">
      <c r="A11" s="790" t="s">
        <v>841</v>
      </c>
      <c r="B11" s="791">
        <v>1140</v>
      </c>
      <c r="C11" s="792"/>
      <c r="D11" s="792"/>
      <c r="E11" s="792"/>
      <c r="F11" s="793">
        <f t="shared" si="4"/>
        <v>0</v>
      </c>
      <c r="G11" s="793">
        <f t="shared" si="0"/>
        <v>0</v>
      </c>
      <c r="H11" s="794">
        <f t="shared" si="1"/>
        <v>0</v>
      </c>
      <c r="I11" s="793">
        <f>G11-F11</f>
        <v>0</v>
      </c>
      <c r="J11" s="1627" t="e">
        <f t="shared" si="2"/>
        <v>#DIV/0!</v>
      </c>
      <c r="K11" s="1627" t="e">
        <f t="shared" si="3"/>
        <v>#DIV/0!</v>
      </c>
    </row>
    <row r="12" spans="1:11">
      <c r="A12" s="790" t="s">
        <v>842</v>
      </c>
      <c r="B12" s="791">
        <v>1150</v>
      </c>
      <c r="C12" s="792">
        <v>10306</v>
      </c>
      <c r="D12" s="792">
        <v>12191</v>
      </c>
      <c r="E12" s="792">
        <v>14142</v>
      </c>
      <c r="F12" s="793">
        <f t="shared" si="4"/>
        <v>0.53589168754670535</v>
      </c>
      <c r="G12" s="793">
        <f t="shared" si="0"/>
        <v>0.35714038188307862</v>
      </c>
      <c r="H12" s="794">
        <f t="shared" si="1"/>
        <v>-1885</v>
      </c>
      <c r="I12" s="793">
        <f t="shared" ref="I12:I26" si="5">G12-F12</f>
        <v>-0.17875130566362674</v>
      </c>
      <c r="J12" s="1627">
        <f t="shared" si="2"/>
        <v>-0.15462226232466575</v>
      </c>
      <c r="K12" s="1627">
        <f t="shared" si="3"/>
        <v>-0.18290316320589947</v>
      </c>
    </row>
    <row r="13" spans="1:11">
      <c r="A13" s="790" t="s">
        <v>843</v>
      </c>
      <c r="B13" s="791">
        <v>1160</v>
      </c>
      <c r="C13" s="792"/>
      <c r="D13" s="792"/>
      <c r="E13" s="792"/>
      <c r="F13" s="793">
        <f t="shared" si="4"/>
        <v>0</v>
      </c>
      <c r="G13" s="793">
        <f t="shared" si="0"/>
        <v>0</v>
      </c>
      <c r="H13" s="794">
        <f t="shared" si="1"/>
        <v>0</v>
      </c>
      <c r="I13" s="793">
        <f t="shared" si="5"/>
        <v>0</v>
      </c>
      <c r="J13" s="1627" t="e">
        <f t="shared" si="2"/>
        <v>#DIV/0!</v>
      </c>
      <c r="K13" s="1627" t="e">
        <f t="shared" si="3"/>
        <v>#DIV/0!</v>
      </c>
    </row>
    <row r="14" spans="1:11">
      <c r="A14" s="790" t="s">
        <v>844</v>
      </c>
      <c r="B14" s="791">
        <v>1170</v>
      </c>
      <c r="C14" s="792"/>
      <c r="D14" s="792"/>
      <c r="E14" s="792"/>
      <c r="F14" s="793">
        <f t="shared" si="4"/>
        <v>0</v>
      </c>
      <c r="G14" s="793">
        <f t="shared" si="0"/>
        <v>0</v>
      </c>
      <c r="H14" s="794">
        <f t="shared" si="1"/>
        <v>0</v>
      </c>
      <c r="I14" s="793">
        <f t="shared" si="5"/>
        <v>0</v>
      </c>
      <c r="J14" s="1627" t="e">
        <f t="shared" si="2"/>
        <v>#DIV/0!</v>
      </c>
      <c r="K14" s="1627" t="e">
        <f t="shared" si="3"/>
        <v>#DIV/0!</v>
      </c>
    </row>
    <row r="15" spans="1:11">
      <c r="A15" s="790" t="s">
        <v>845</v>
      </c>
      <c r="B15" s="791">
        <v>1180</v>
      </c>
      <c r="C15" s="792"/>
      <c r="D15" s="792"/>
      <c r="E15" s="792"/>
      <c r="F15" s="793">
        <f t="shared" si="4"/>
        <v>0</v>
      </c>
      <c r="G15" s="793">
        <f t="shared" si="0"/>
        <v>0</v>
      </c>
      <c r="H15" s="794">
        <f t="shared" si="1"/>
        <v>0</v>
      </c>
      <c r="I15" s="793">
        <f t="shared" si="5"/>
        <v>0</v>
      </c>
      <c r="J15" s="1627" t="e">
        <f t="shared" si="2"/>
        <v>#DIV/0!</v>
      </c>
      <c r="K15" s="1627" t="e">
        <f t="shared" si="3"/>
        <v>#DIV/0!</v>
      </c>
    </row>
    <row r="16" spans="1:11">
      <c r="A16" s="790" t="s">
        <v>846</v>
      </c>
      <c r="B16" s="791">
        <v>1190</v>
      </c>
      <c r="C16" s="792"/>
      <c r="D16" s="792"/>
      <c r="E16" s="792"/>
      <c r="F16" s="793">
        <f t="shared" si="4"/>
        <v>0</v>
      </c>
      <c r="G16" s="793">
        <f t="shared" si="0"/>
        <v>0</v>
      </c>
      <c r="H16" s="794">
        <f t="shared" si="1"/>
        <v>0</v>
      </c>
      <c r="I16" s="793">
        <f t="shared" si="5"/>
        <v>0</v>
      </c>
      <c r="J16" s="1627" t="e">
        <f t="shared" si="2"/>
        <v>#DIV/0!</v>
      </c>
      <c r="K16" s="1627" t="e">
        <f t="shared" si="3"/>
        <v>#DIV/0!</v>
      </c>
    </row>
    <row r="17" spans="1:11">
      <c r="A17" s="795" t="s">
        <v>847</v>
      </c>
      <c r="B17" s="796">
        <v>1100</v>
      </c>
      <c r="C17" s="797">
        <f>SUM(C8:C16)</f>
        <v>10306</v>
      </c>
      <c r="D17" s="797">
        <f>SUM(D8:D16)</f>
        <v>12191</v>
      </c>
      <c r="E17" s="797">
        <f>SUM(E8:E16)</f>
        <v>14142</v>
      </c>
      <c r="F17" s="798">
        <f t="shared" si="4"/>
        <v>0.53589168754670535</v>
      </c>
      <c r="G17" s="798">
        <f t="shared" si="0"/>
        <v>0.35714038188307862</v>
      </c>
      <c r="H17" s="799">
        <f t="shared" si="1"/>
        <v>-1885</v>
      </c>
      <c r="I17" s="800">
        <f t="shared" si="5"/>
        <v>-0.17875130566362674</v>
      </c>
      <c r="J17" s="1627">
        <f t="shared" si="2"/>
        <v>-0.15462226232466575</v>
      </c>
      <c r="K17" s="1627">
        <f t="shared" si="3"/>
        <v>-0.18290316320589947</v>
      </c>
    </row>
    <row r="18" spans="1:11">
      <c r="A18" s="801" t="s">
        <v>848</v>
      </c>
      <c r="B18" s="802"/>
      <c r="C18" s="803"/>
      <c r="D18" s="803"/>
      <c r="E18" s="803"/>
      <c r="F18" s="793"/>
      <c r="G18" s="793"/>
      <c r="H18" s="794"/>
      <c r="I18" s="793"/>
      <c r="J18" s="1627" t="e">
        <f t="shared" si="2"/>
        <v>#DIV/0!</v>
      </c>
      <c r="K18" s="1627" t="e">
        <f t="shared" si="3"/>
        <v>#DIV/0!</v>
      </c>
    </row>
    <row r="19" spans="1:11">
      <c r="A19" s="804" t="s">
        <v>849</v>
      </c>
      <c r="B19" s="791">
        <v>1210</v>
      </c>
      <c r="C19" s="792">
        <v>3844</v>
      </c>
      <c r="D19" s="792">
        <v>3635</v>
      </c>
      <c r="E19" s="792">
        <v>3856</v>
      </c>
      <c r="F19" s="793">
        <f t="shared" ref="F19:F26" si="6">D19/$D$26</f>
        <v>0.15978724339531408</v>
      </c>
      <c r="G19" s="793">
        <f t="shared" ref="G19:G26" si="7">C19/$C$26</f>
        <v>0.13320858024049623</v>
      </c>
      <c r="H19" s="794">
        <f t="shared" ref="H19:H26" si="8">C19-D19</f>
        <v>209</v>
      </c>
      <c r="I19" s="793">
        <f t="shared" si="5"/>
        <v>-2.6578663154817855E-2</v>
      </c>
      <c r="J19" s="1627">
        <f t="shared" si="2"/>
        <v>5.749656121045392E-2</v>
      </c>
      <c r="K19" s="1627">
        <f t="shared" si="3"/>
        <v>5.4370447450572318E-2</v>
      </c>
    </row>
    <row r="20" spans="1:11" ht="30">
      <c r="A20" s="804" t="s">
        <v>850</v>
      </c>
      <c r="B20" s="791">
        <v>1220</v>
      </c>
      <c r="C20" s="792"/>
      <c r="D20" s="792"/>
      <c r="E20" s="792"/>
      <c r="F20" s="793">
        <f t="shared" si="6"/>
        <v>0</v>
      </c>
      <c r="G20" s="793">
        <f t="shared" si="7"/>
        <v>0</v>
      </c>
      <c r="H20" s="794">
        <f t="shared" si="8"/>
        <v>0</v>
      </c>
      <c r="I20" s="793">
        <f t="shared" si="5"/>
        <v>0</v>
      </c>
      <c r="J20" s="1627" t="e">
        <f t="shared" si="2"/>
        <v>#DIV/0!</v>
      </c>
      <c r="K20" s="1627" t="e">
        <f t="shared" si="3"/>
        <v>#DIV/0!</v>
      </c>
    </row>
    <row r="21" spans="1:11">
      <c r="A21" s="804" t="s">
        <v>851</v>
      </c>
      <c r="B21" s="791">
        <v>1230</v>
      </c>
      <c r="C21" s="792">
        <v>3532</v>
      </c>
      <c r="D21" s="792">
        <v>4646</v>
      </c>
      <c r="E21" s="792">
        <v>3022</v>
      </c>
      <c r="F21" s="793">
        <f t="shared" si="6"/>
        <v>0.20422875730801354</v>
      </c>
      <c r="G21" s="793">
        <f t="shared" si="7"/>
        <v>0.12239664552794816</v>
      </c>
      <c r="H21" s="794">
        <f t="shared" si="8"/>
        <v>-1114</v>
      </c>
      <c r="I21" s="793">
        <f t="shared" si="5"/>
        <v>-8.1832111780065386E-2</v>
      </c>
      <c r="J21" s="1627">
        <f t="shared" si="2"/>
        <v>-0.23977615152819629</v>
      </c>
      <c r="K21" s="1627">
        <f t="shared" si="3"/>
        <v>-0.31540203850509624</v>
      </c>
    </row>
    <row r="22" spans="1:11" ht="30">
      <c r="A22" s="804" t="s">
        <v>852</v>
      </c>
      <c r="B22" s="791">
        <v>1240</v>
      </c>
      <c r="C22" s="792"/>
      <c r="D22" s="792"/>
      <c r="E22" s="792"/>
      <c r="F22" s="793">
        <f t="shared" si="6"/>
        <v>0</v>
      </c>
      <c r="G22" s="793">
        <f t="shared" si="7"/>
        <v>0</v>
      </c>
      <c r="H22" s="794">
        <f t="shared" si="8"/>
        <v>0</v>
      </c>
      <c r="I22" s="793">
        <f t="shared" si="5"/>
        <v>0</v>
      </c>
      <c r="J22" s="1627" t="e">
        <f t="shared" si="2"/>
        <v>#DIV/0!</v>
      </c>
      <c r="K22" s="1627" t="e">
        <f t="shared" si="3"/>
        <v>#DIV/0!</v>
      </c>
    </row>
    <row r="23" spans="1:11">
      <c r="A23" s="804" t="s">
        <v>853</v>
      </c>
      <c r="B23" s="791">
        <v>1250</v>
      </c>
      <c r="C23" s="792">
        <v>11175</v>
      </c>
      <c r="D23" s="792">
        <v>2277</v>
      </c>
      <c r="E23" s="792">
        <v>4515</v>
      </c>
      <c r="F23" s="793">
        <f t="shared" si="6"/>
        <v>0.10009231174996704</v>
      </c>
      <c r="G23" s="793">
        <f t="shared" si="7"/>
        <v>0.38725439234847697</v>
      </c>
      <c r="H23" s="794">
        <f t="shared" si="8"/>
        <v>8898</v>
      </c>
      <c r="I23" s="793">
        <f t="shared" si="5"/>
        <v>0.28716208059850995</v>
      </c>
      <c r="J23" s="1627">
        <f t="shared" si="2"/>
        <v>3.9077733860342554</v>
      </c>
      <c r="K23" s="1627">
        <f t="shared" si="3"/>
        <v>0.79624161073825506</v>
      </c>
    </row>
    <row r="24" spans="1:11">
      <c r="A24" s="804" t="s">
        <v>854</v>
      </c>
      <c r="B24" s="791">
        <v>1260</v>
      </c>
      <c r="C24" s="792"/>
      <c r="D24" s="792"/>
      <c r="E24" s="792"/>
      <c r="F24" s="793">
        <f t="shared" si="6"/>
        <v>0</v>
      </c>
      <c r="G24" s="793">
        <f t="shared" si="7"/>
        <v>0</v>
      </c>
      <c r="H24" s="794">
        <f t="shared" si="8"/>
        <v>0</v>
      </c>
      <c r="I24" s="793">
        <f t="shared" si="5"/>
        <v>0</v>
      </c>
      <c r="J24" s="1627" t="e">
        <f t="shared" si="2"/>
        <v>#DIV/0!</v>
      </c>
      <c r="K24" s="1627" t="e">
        <f t="shared" si="3"/>
        <v>#DIV/0!</v>
      </c>
    </row>
    <row r="25" spans="1:11">
      <c r="A25" s="795" t="s">
        <v>855</v>
      </c>
      <c r="B25" s="796">
        <v>1200</v>
      </c>
      <c r="C25" s="797">
        <f>SUM(C19:C24)</f>
        <v>18551</v>
      </c>
      <c r="D25" s="797">
        <f>SUM(D19:D24)</f>
        <v>10558</v>
      </c>
      <c r="E25" s="797">
        <f>SUM(E19:E24)</f>
        <v>11393</v>
      </c>
      <c r="F25" s="798">
        <f t="shared" si="6"/>
        <v>0.46410831245329465</v>
      </c>
      <c r="G25" s="798">
        <f t="shared" si="7"/>
        <v>0.64285961811692138</v>
      </c>
      <c r="H25" s="799">
        <f t="shared" si="8"/>
        <v>7993</v>
      </c>
      <c r="I25" s="800">
        <f t="shared" si="5"/>
        <v>0.17875130566362674</v>
      </c>
      <c r="J25" s="1627">
        <f t="shared" si="2"/>
        <v>0.75705626065542719</v>
      </c>
      <c r="K25" s="1627">
        <f t="shared" si="3"/>
        <v>0.4308662605789445</v>
      </c>
    </row>
    <row r="26" spans="1:11" ht="19.5">
      <c r="A26" s="805" t="s">
        <v>856</v>
      </c>
      <c r="B26" s="806">
        <v>1600</v>
      </c>
      <c r="C26" s="807">
        <f>C17+C25</f>
        <v>28857</v>
      </c>
      <c r="D26" s="807">
        <f>D17+D25</f>
        <v>22749</v>
      </c>
      <c r="E26" s="807">
        <f>E17+E25</f>
        <v>25535</v>
      </c>
      <c r="F26" s="808">
        <f t="shared" si="6"/>
        <v>1</v>
      </c>
      <c r="G26" s="808">
        <f t="shared" si="7"/>
        <v>1</v>
      </c>
      <c r="H26" s="809">
        <f t="shared" si="8"/>
        <v>6108</v>
      </c>
      <c r="I26" s="810">
        <f t="shared" si="5"/>
        <v>0</v>
      </c>
      <c r="J26" s="1627">
        <f t="shared" si="2"/>
        <v>0.26849531847553737</v>
      </c>
      <c r="K26" s="1627">
        <f t="shared" si="3"/>
        <v>0.21166441418026821</v>
      </c>
    </row>
    <row r="27" spans="1:11">
      <c r="B27" s="1632"/>
      <c r="C27" s="1633"/>
      <c r="D27" s="1633"/>
      <c r="E27" s="1633"/>
      <c r="F27" s="1633"/>
      <c r="G27" s="1633"/>
      <c r="H27" s="1634"/>
      <c r="I27" s="1633"/>
      <c r="J27" s="1633"/>
      <c r="K27" s="1633"/>
    </row>
    <row r="28" spans="1:11" ht="19.5">
      <c r="A28" s="811" t="s">
        <v>857</v>
      </c>
      <c r="B28" s="812"/>
      <c r="C28" s="813"/>
      <c r="D28" s="813"/>
      <c r="E28" s="813"/>
      <c r="F28" s="813"/>
      <c r="G28" s="813"/>
      <c r="H28" s="814"/>
      <c r="I28" s="813"/>
      <c r="J28" s="813"/>
      <c r="K28" s="815"/>
    </row>
    <row r="29" spans="1:11" ht="16.5">
      <c r="A29" s="788" t="s">
        <v>858</v>
      </c>
      <c r="B29" s="816"/>
      <c r="C29" s="789"/>
      <c r="D29" s="789"/>
      <c r="E29" s="789"/>
      <c r="F29" s="789"/>
      <c r="G29" s="789"/>
      <c r="H29" s="794"/>
      <c r="I29" s="789"/>
      <c r="J29" s="789"/>
      <c r="K29" s="789"/>
    </row>
    <row r="30" spans="1:11" ht="30">
      <c r="A30" s="817" t="s">
        <v>859</v>
      </c>
      <c r="B30" s="818">
        <v>1310</v>
      </c>
      <c r="C30" s="792"/>
      <c r="D30" s="792"/>
      <c r="E30" s="792"/>
      <c r="F30" s="793">
        <f t="shared" ref="F30:F36" si="9">D30/D$50</f>
        <v>0</v>
      </c>
      <c r="G30" s="793">
        <f t="shared" ref="G30:G50" si="10">C30/C$50</f>
        <v>0</v>
      </c>
      <c r="H30" s="794">
        <f t="shared" ref="H30:H36" si="11">C30-D30</f>
        <v>0</v>
      </c>
      <c r="I30" s="793">
        <f>G30-F30</f>
        <v>0</v>
      </c>
      <c r="J30" s="1627" t="e">
        <f>H30/D30</f>
        <v>#DIV/0!</v>
      </c>
      <c r="K30" s="1627" t="e">
        <f>H30/C30</f>
        <v>#DIV/0!</v>
      </c>
    </row>
    <row r="31" spans="1:11">
      <c r="A31" s="817" t="s">
        <v>860</v>
      </c>
      <c r="B31" s="818">
        <v>1320</v>
      </c>
      <c r="C31" s="792"/>
      <c r="D31" s="792"/>
      <c r="E31" s="792"/>
      <c r="F31" s="793">
        <f t="shared" si="9"/>
        <v>0</v>
      </c>
      <c r="G31" s="793">
        <f t="shared" si="10"/>
        <v>0</v>
      </c>
      <c r="H31" s="794">
        <f t="shared" si="11"/>
        <v>0</v>
      </c>
      <c r="I31" s="793">
        <f t="shared" ref="I31:I50" si="12">G31-F31</f>
        <v>0</v>
      </c>
      <c r="J31" s="1627" t="e">
        <f t="shared" ref="J31:J50" si="13">H31/D31</f>
        <v>#DIV/0!</v>
      </c>
      <c r="K31" s="1627" t="e">
        <f t="shared" ref="K31:K50" si="14">H31/C31</f>
        <v>#DIV/0!</v>
      </c>
    </row>
    <row r="32" spans="1:11">
      <c r="A32" s="817" t="s">
        <v>861</v>
      </c>
      <c r="B32" s="818">
        <v>1340</v>
      </c>
      <c r="C32" s="792"/>
      <c r="D32" s="792"/>
      <c r="E32" s="792"/>
      <c r="F32" s="793">
        <f t="shared" si="9"/>
        <v>0</v>
      </c>
      <c r="G32" s="793">
        <f t="shared" si="10"/>
        <v>0</v>
      </c>
      <c r="H32" s="794">
        <f t="shared" si="11"/>
        <v>0</v>
      </c>
      <c r="I32" s="793">
        <f t="shared" si="12"/>
        <v>0</v>
      </c>
      <c r="J32" s="1627" t="e">
        <f t="shared" si="13"/>
        <v>#DIV/0!</v>
      </c>
      <c r="K32" s="1627" t="e">
        <f t="shared" si="14"/>
        <v>#DIV/0!</v>
      </c>
    </row>
    <row r="33" spans="1:11">
      <c r="A33" s="817" t="s">
        <v>862</v>
      </c>
      <c r="B33" s="818">
        <v>1350</v>
      </c>
      <c r="C33" s="792">
        <v>1177</v>
      </c>
      <c r="D33" s="792">
        <v>1177</v>
      </c>
      <c r="E33" s="792">
        <v>1177</v>
      </c>
      <c r="F33" s="793">
        <f t="shared" si="9"/>
        <v>5.1738537957712424E-2</v>
      </c>
      <c r="G33" s="793">
        <f t="shared" si="10"/>
        <v>4.0787330630349658E-2</v>
      </c>
      <c r="H33" s="794">
        <f t="shared" si="11"/>
        <v>0</v>
      </c>
      <c r="I33" s="793">
        <f t="shared" si="12"/>
        <v>-1.0951207327362766E-2</v>
      </c>
      <c r="J33" s="1627">
        <f t="shared" si="13"/>
        <v>0</v>
      </c>
      <c r="K33" s="1627">
        <f t="shared" si="14"/>
        <v>0</v>
      </c>
    </row>
    <row r="34" spans="1:11">
      <c r="A34" s="817" t="s">
        <v>863</v>
      </c>
      <c r="B34" s="818">
        <v>1360</v>
      </c>
      <c r="C34" s="792"/>
      <c r="D34" s="792"/>
      <c r="E34" s="792"/>
      <c r="F34" s="793">
        <f t="shared" si="9"/>
        <v>0</v>
      </c>
      <c r="G34" s="793">
        <f t="shared" si="10"/>
        <v>0</v>
      </c>
      <c r="H34" s="794">
        <f t="shared" si="11"/>
        <v>0</v>
      </c>
      <c r="I34" s="793">
        <f t="shared" si="12"/>
        <v>0</v>
      </c>
      <c r="J34" s="1627" t="e">
        <f t="shared" si="13"/>
        <v>#DIV/0!</v>
      </c>
      <c r="K34" s="1627" t="e">
        <f t="shared" si="14"/>
        <v>#DIV/0!</v>
      </c>
    </row>
    <row r="35" spans="1:11" ht="17.25" customHeight="1">
      <c r="A35" s="817" t="s">
        <v>864</v>
      </c>
      <c r="B35" s="818">
        <v>1370</v>
      </c>
      <c r="C35" s="792">
        <v>24982</v>
      </c>
      <c r="D35" s="792">
        <v>20432</v>
      </c>
      <c r="E35" s="792">
        <v>22031</v>
      </c>
      <c r="F35" s="793">
        <f t="shared" si="9"/>
        <v>0.89814936920304189</v>
      </c>
      <c r="G35" s="793">
        <f t="shared" si="10"/>
        <v>0.86571715701562879</v>
      </c>
      <c r="H35" s="794">
        <f t="shared" si="11"/>
        <v>4550</v>
      </c>
      <c r="I35" s="793">
        <f t="shared" si="12"/>
        <v>-3.2432212187413101E-2</v>
      </c>
      <c r="J35" s="1627">
        <f t="shared" si="13"/>
        <v>0.22268989819890367</v>
      </c>
      <c r="K35" s="1627">
        <f t="shared" si="14"/>
        <v>0.18213113441678008</v>
      </c>
    </row>
    <row r="36" spans="1:11">
      <c r="A36" s="819" t="s">
        <v>865</v>
      </c>
      <c r="B36" s="820">
        <v>1300</v>
      </c>
      <c r="C36" s="797">
        <f>SUM(C30:C35)</f>
        <v>26159</v>
      </c>
      <c r="D36" s="797">
        <f>SUM(D30:D35)</f>
        <v>21609</v>
      </c>
      <c r="E36" s="797">
        <f>SUM(E30:E35)</f>
        <v>23208</v>
      </c>
      <c r="F36" s="798">
        <f t="shared" si="9"/>
        <v>0.94988790716075433</v>
      </c>
      <c r="G36" s="798">
        <f t="shared" si="10"/>
        <v>0.90650448764597846</v>
      </c>
      <c r="H36" s="799">
        <f t="shared" si="11"/>
        <v>4550</v>
      </c>
      <c r="I36" s="800">
        <f t="shared" si="12"/>
        <v>-4.3383419514775867E-2</v>
      </c>
      <c r="J36" s="1627">
        <f t="shared" si="13"/>
        <v>0.21056041464204731</v>
      </c>
      <c r="K36" s="1627">
        <f t="shared" si="14"/>
        <v>0.17393631255017394</v>
      </c>
    </row>
    <row r="37" spans="1:11" ht="18.75" customHeight="1">
      <c r="A37" s="821" t="s">
        <v>866</v>
      </c>
      <c r="B37" s="822"/>
      <c r="C37" s="803"/>
      <c r="D37" s="803"/>
      <c r="E37" s="803"/>
      <c r="F37" s="793"/>
      <c r="G37" s="793"/>
      <c r="H37" s="794"/>
      <c r="I37" s="793"/>
      <c r="J37" s="1627" t="e">
        <f t="shared" si="13"/>
        <v>#DIV/0!</v>
      </c>
      <c r="K37" s="1627" t="e">
        <f t="shared" si="14"/>
        <v>#DIV/0!</v>
      </c>
    </row>
    <row r="38" spans="1:11">
      <c r="A38" s="817" t="s">
        <v>867</v>
      </c>
      <c r="B38" s="818">
        <v>1410</v>
      </c>
      <c r="C38" s="792"/>
      <c r="D38" s="792"/>
      <c r="E38" s="792"/>
      <c r="F38" s="793">
        <f>D38/D$50</f>
        <v>0</v>
      </c>
      <c r="G38" s="793">
        <f t="shared" si="10"/>
        <v>0</v>
      </c>
      <c r="H38" s="794">
        <f>C38-D38</f>
        <v>0</v>
      </c>
      <c r="I38" s="793">
        <f t="shared" si="12"/>
        <v>0</v>
      </c>
      <c r="J38" s="1627" t="e">
        <f t="shared" si="13"/>
        <v>#DIV/0!</v>
      </c>
      <c r="K38" s="1627" t="e">
        <f t="shared" si="14"/>
        <v>#DIV/0!</v>
      </c>
    </row>
    <row r="39" spans="1:11">
      <c r="A39" s="817" t="s">
        <v>868</v>
      </c>
      <c r="B39" s="818">
        <v>1420</v>
      </c>
      <c r="C39" s="792"/>
      <c r="D39" s="792"/>
      <c r="E39" s="792"/>
      <c r="F39" s="793">
        <f>D39/D$50</f>
        <v>0</v>
      </c>
      <c r="G39" s="793">
        <f t="shared" si="10"/>
        <v>0</v>
      </c>
      <c r="H39" s="794">
        <f>C39-D39</f>
        <v>0</v>
      </c>
      <c r="I39" s="793">
        <f t="shared" si="12"/>
        <v>0</v>
      </c>
      <c r="J39" s="1627" t="e">
        <f t="shared" si="13"/>
        <v>#DIV/0!</v>
      </c>
      <c r="K39" s="1627" t="e">
        <f t="shared" si="14"/>
        <v>#DIV/0!</v>
      </c>
    </row>
    <row r="40" spans="1:11">
      <c r="A40" s="817" t="s">
        <v>869</v>
      </c>
      <c r="B40" s="818">
        <v>1430</v>
      </c>
      <c r="C40" s="792"/>
      <c r="D40" s="792"/>
      <c r="E40" s="792"/>
      <c r="F40" s="793">
        <f>D40/D$50</f>
        <v>0</v>
      </c>
      <c r="G40" s="793">
        <f t="shared" si="10"/>
        <v>0</v>
      </c>
      <c r="H40" s="794">
        <f>C40-D40</f>
        <v>0</v>
      </c>
      <c r="I40" s="793">
        <f t="shared" si="12"/>
        <v>0</v>
      </c>
      <c r="J40" s="1627" t="e">
        <f t="shared" si="13"/>
        <v>#DIV/0!</v>
      </c>
      <c r="K40" s="1627" t="e">
        <f t="shared" si="14"/>
        <v>#DIV/0!</v>
      </c>
    </row>
    <row r="41" spans="1:11">
      <c r="A41" s="817" t="s">
        <v>870</v>
      </c>
      <c r="B41" s="818">
        <v>1450</v>
      </c>
      <c r="C41" s="792"/>
      <c r="D41" s="792"/>
      <c r="E41" s="792"/>
      <c r="F41" s="793">
        <f>D41/D$50</f>
        <v>0</v>
      </c>
      <c r="G41" s="793">
        <f t="shared" si="10"/>
        <v>0</v>
      </c>
      <c r="H41" s="794">
        <f>C41-D41</f>
        <v>0</v>
      </c>
      <c r="I41" s="793">
        <f t="shared" si="12"/>
        <v>0</v>
      </c>
      <c r="J41" s="1627" t="e">
        <f t="shared" si="13"/>
        <v>#DIV/0!</v>
      </c>
      <c r="K41" s="1627" t="e">
        <f t="shared" si="14"/>
        <v>#DIV/0!</v>
      </c>
    </row>
    <row r="42" spans="1:11">
      <c r="A42" s="819" t="s">
        <v>871</v>
      </c>
      <c r="B42" s="820">
        <v>1400</v>
      </c>
      <c r="C42" s="797"/>
      <c r="D42" s="797">
        <f>SUM(D38:D41)</f>
        <v>0</v>
      </c>
      <c r="E42" s="797">
        <f>SUM(E38:E41)</f>
        <v>0</v>
      </c>
      <c r="F42" s="798">
        <f>D42/D$50</f>
        <v>0</v>
      </c>
      <c r="G42" s="798">
        <f t="shared" si="10"/>
        <v>0</v>
      </c>
      <c r="H42" s="799">
        <f>C42-D42</f>
        <v>0</v>
      </c>
      <c r="I42" s="800">
        <f t="shared" si="12"/>
        <v>0</v>
      </c>
      <c r="J42" s="1627" t="e">
        <f t="shared" si="13"/>
        <v>#DIV/0!</v>
      </c>
      <c r="K42" s="1627" t="e">
        <f t="shared" si="14"/>
        <v>#DIV/0!</v>
      </c>
    </row>
    <row r="43" spans="1:11" ht="16.5">
      <c r="A43" s="821" t="s">
        <v>872</v>
      </c>
      <c r="B43" s="822"/>
      <c r="C43" s="803"/>
      <c r="D43" s="803"/>
      <c r="E43" s="803"/>
      <c r="F43" s="793"/>
      <c r="G43" s="793"/>
      <c r="H43" s="794"/>
      <c r="I43" s="793"/>
      <c r="J43" s="1627" t="e">
        <f t="shared" si="13"/>
        <v>#DIV/0!</v>
      </c>
      <c r="K43" s="1627" t="e">
        <f t="shared" si="14"/>
        <v>#DIV/0!</v>
      </c>
    </row>
    <row r="44" spans="1:11">
      <c r="A44" s="817" t="s">
        <v>867</v>
      </c>
      <c r="B44" s="818">
        <v>1510</v>
      </c>
      <c r="C44" s="792"/>
      <c r="D44" s="792"/>
      <c r="E44" s="792"/>
      <c r="F44" s="793">
        <f t="shared" ref="F44:F50" si="15">D44/D$50</f>
        <v>0</v>
      </c>
      <c r="G44" s="793">
        <f t="shared" si="10"/>
        <v>0</v>
      </c>
      <c r="H44" s="794">
        <f t="shared" ref="H44:H50" si="16">C44-D44</f>
        <v>0</v>
      </c>
      <c r="I44" s="793">
        <f t="shared" si="12"/>
        <v>0</v>
      </c>
      <c r="J44" s="1627" t="e">
        <f t="shared" si="13"/>
        <v>#DIV/0!</v>
      </c>
      <c r="K44" s="1627" t="e">
        <f t="shared" si="14"/>
        <v>#DIV/0!</v>
      </c>
    </row>
    <row r="45" spans="1:11">
      <c r="A45" s="817" t="s">
        <v>873</v>
      </c>
      <c r="B45" s="818">
        <v>1520</v>
      </c>
      <c r="C45" s="792">
        <v>2698</v>
      </c>
      <c r="D45" s="792">
        <v>1140</v>
      </c>
      <c r="E45" s="792">
        <v>2327</v>
      </c>
      <c r="F45" s="793">
        <f t="shared" si="15"/>
        <v>5.0112092839245684E-2</v>
      </c>
      <c r="G45" s="793">
        <f t="shared" si="10"/>
        <v>9.3495512354021551E-2</v>
      </c>
      <c r="H45" s="794">
        <f t="shared" si="16"/>
        <v>1558</v>
      </c>
      <c r="I45" s="793">
        <f t="shared" si="12"/>
        <v>4.3383419514775867E-2</v>
      </c>
      <c r="J45" s="1627">
        <f t="shared" si="13"/>
        <v>1.3666666666666667</v>
      </c>
      <c r="K45" s="1627">
        <f t="shared" si="14"/>
        <v>0.57746478873239437</v>
      </c>
    </row>
    <row r="46" spans="1:11">
      <c r="A46" s="817" t="s">
        <v>874</v>
      </c>
      <c r="B46" s="818">
        <v>1530</v>
      </c>
      <c r="C46" s="792"/>
      <c r="D46" s="792"/>
      <c r="E46" s="792"/>
      <c r="F46" s="793">
        <f t="shared" si="15"/>
        <v>0</v>
      </c>
      <c r="G46" s="793">
        <f t="shared" si="10"/>
        <v>0</v>
      </c>
      <c r="H46" s="794">
        <f t="shared" si="16"/>
        <v>0</v>
      </c>
      <c r="I46" s="793">
        <f t="shared" si="12"/>
        <v>0</v>
      </c>
      <c r="J46" s="1627" t="e">
        <f t="shared" si="13"/>
        <v>#DIV/0!</v>
      </c>
      <c r="K46" s="1627" t="e">
        <f t="shared" si="14"/>
        <v>#DIV/0!</v>
      </c>
    </row>
    <row r="47" spans="1:11">
      <c r="A47" s="817" t="s">
        <v>869</v>
      </c>
      <c r="B47" s="818">
        <v>1540</v>
      </c>
      <c r="C47" s="792"/>
      <c r="D47" s="792"/>
      <c r="E47" s="792"/>
      <c r="F47" s="793">
        <f t="shared" si="15"/>
        <v>0</v>
      </c>
      <c r="G47" s="793">
        <f t="shared" si="10"/>
        <v>0</v>
      </c>
      <c r="H47" s="794">
        <f t="shared" si="16"/>
        <v>0</v>
      </c>
      <c r="I47" s="793">
        <f t="shared" si="12"/>
        <v>0</v>
      </c>
      <c r="J47" s="1627" t="e">
        <f t="shared" si="13"/>
        <v>#DIV/0!</v>
      </c>
      <c r="K47" s="1627" t="e">
        <f t="shared" si="14"/>
        <v>#DIV/0!</v>
      </c>
    </row>
    <row r="48" spans="1:11">
      <c r="A48" s="817" t="s">
        <v>870</v>
      </c>
      <c r="B48" s="818">
        <v>1550</v>
      </c>
      <c r="C48" s="792"/>
      <c r="D48" s="792"/>
      <c r="E48" s="792"/>
      <c r="F48" s="793">
        <f t="shared" si="15"/>
        <v>0</v>
      </c>
      <c r="G48" s="793">
        <f t="shared" si="10"/>
        <v>0</v>
      </c>
      <c r="H48" s="794">
        <f t="shared" si="16"/>
        <v>0</v>
      </c>
      <c r="I48" s="793">
        <f t="shared" si="12"/>
        <v>0</v>
      </c>
      <c r="J48" s="1627" t="e">
        <f t="shared" si="13"/>
        <v>#DIV/0!</v>
      </c>
      <c r="K48" s="1627" t="e">
        <f t="shared" si="14"/>
        <v>#DIV/0!</v>
      </c>
    </row>
    <row r="49" spans="1:11">
      <c r="A49" s="795" t="s">
        <v>875</v>
      </c>
      <c r="B49" s="796">
        <v>1500</v>
      </c>
      <c r="C49" s="797">
        <f>SUM(C44:C48)</f>
        <v>2698</v>
      </c>
      <c r="D49" s="797">
        <f>SUM(D44:D48)</f>
        <v>1140</v>
      </c>
      <c r="E49" s="797">
        <f>SUM(E44:E48)</f>
        <v>2327</v>
      </c>
      <c r="F49" s="798">
        <f t="shared" si="15"/>
        <v>5.0112092839245684E-2</v>
      </c>
      <c r="G49" s="798">
        <f t="shared" si="10"/>
        <v>9.3495512354021551E-2</v>
      </c>
      <c r="H49" s="799">
        <f t="shared" si="16"/>
        <v>1558</v>
      </c>
      <c r="I49" s="800">
        <f t="shared" si="12"/>
        <v>4.3383419514775867E-2</v>
      </c>
      <c r="J49" s="1627">
        <f t="shared" si="13"/>
        <v>1.3666666666666667</v>
      </c>
      <c r="K49" s="1627">
        <f t="shared" si="14"/>
        <v>0.57746478873239437</v>
      </c>
    </row>
    <row r="50" spans="1:11" ht="19.5">
      <c r="A50" s="805" t="s">
        <v>856</v>
      </c>
      <c r="B50" s="806">
        <v>1700</v>
      </c>
      <c r="C50" s="807">
        <f>C36+C42+C49</f>
        <v>28857</v>
      </c>
      <c r="D50" s="807">
        <f>D36+D42+D49</f>
        <v>22749</v>
      </c>
      <c r="E50" s="807">
        <f>E36+E42+E49</f>
        <v>25535</v>
      </c>
      <c r="F50" s="808">
        <f t="shared" si="15"/>
        <v>1</v>
      </c>
      <c r="G50" s="808">
        <f t="shared" si="10"/>
        <v>1</v>
      </c>
      <c r="H50" s="809">
        <f t="shared" si="16"/>
        <v>6108</v>
      </c>
      <c r="I50" s="810">
        <f t="shared" si="12"/>
        <v>0</v>
      </c>
      <c r="J50" s="1627">
        <f t="shared" si="13"/>
        <v>0.26849531847553737</v>
      </c>
      <c r="K50" s="1627">
        <f t="shared" si="14"/>
        <v>0.21166441418026821</v>
      </c>
    </row>
  </sheetData>
  <mergeCells count="4">
    <mergeCell ref="A1:J1"/>
    <mergeCell ref="A2:J2"/>
    <mergeCell ref="A4:A5"/>
    <mergeCell ref="H4:K4"/>
  </mergeCells>
  <conditionalFormatting sqref="C26:E26">
    <cfRule type="cellIs" dxfId="9" priority="10" operator="notEqual">
      <formula>C$50</formula>
    </cfRule>
  </conditionalFormatting>
  <conditionalFormatting sqref="C50:E50">
    <cfRule type="cellIs" dxfId="8" priority="9" operator="notEqual">
      <formula>C$26</formula>
    </cfRule>
  </conditionalFormatting>
  <conditionalFormatting sqref="H26">
    <cfRule type="cellIs" dxfId="7" priority="8" operator="notEqual">
      <formula>H$50</formula>
    </cfRule>
  </conditionalFormatting>
  <conditionalFormatting sqref="H50">
    <cfRule type="cellIs" dxfId="6" priority="7" operator="notEqual">
      <formula>H$26</formula>
    </cfRule>
  </conditionalFormatting>
  <conditionalFormatting sqref="D26:E26">
    <cfRule type="cellIs" dxfId="5" priority="6" operator="notEqual">
      <formula>D$50</formula>
    </cfRule>
  </conditionalFormatting>
  <conditionalFormatting sqref="D50:E50">
    <cfRule type="cellIs" dxfId="4" priority="5" operator="notEqual">
      <formula>D$26</formula>
    </cfRule>
  </conditionalFormatting>
  <conditionalFormatting sqref="H26">
    <cfRule type="cellIs" dxfId="3" priority="4" operator="notEqual">
      <formula>H$50</formula>
    </cfRule>
  </conditionalFormatting>
  <conditionalFormatting sqref="H50">
    <cfRule type="cellIs" dxfId="2" priority="3" operator="notEqual">
      <formula>H$26</formula>
    </cfRule>
  </conditionalFormatting>
  <conditionalFormatting sqref="C26">
    <cfRule type="cellIs" dxfId="1" priority="2" operator="notEqual">
      <formula>C$50</formula>
    </cfRule>
  </conditionalFormatting>
  <conditionalFormatting sqref="C50">
    <cfRule type="cellIs" dxfId="0" priority="1" operator="notEqual">
      <formula>C$26</formula>
    </cfRule>
  </conditionalFormatting>
  <pageMargins left="0.70866141732283472" right="0.70866141732283472" top="0.44" bottom="0.38" header="0.31496062992125984" footer="0.31496062992125984"/>
  <pageSetup paperSize="9" scale="64" orientation="landscape" blackAndWhite="1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H22"/>
  <sheetViews>
    <sheetView workbookViewId="0">
      <selection activeCell="C4" sqref="C4:D22"/>
    </sheetView>
  </sheetViews>
  <sheetFormatPr defaultRowHeight="15"/>
  <cols>
    <col min="1" max="1" width="45.5703125" style="779" customWidth="1"/>
    <col min="2" max="2" width="6.5703125" style="779" customWidth="1"/>
    <col min="3" max="3" width="14.7109375" style="779" customWidth="1"/>
    <col min="4" max="4" width="17" style="779" customWidth="1"/>
    <col min="5" max="5" width="13.7109375" style="779" customWidth="1"/>
    <col min="6" max="6" width="15.140625" style="779" customWidth="1"/>
    <col min="7" max="8" width="11.42578125" style="779" customWidth="1"/>
    <col min="9" max="16384" width="9.140625" style="779"/>
  </cols>
  <sheetData>
    <row r="1" spans="1:8">
      <c r="A1" s="1944" t="str">
        <f>'Реквизиты организации'!C8</f>
        <v>МУ МПЖКХ Гусь-Железный</v>
      </c>
      <c r="B1" s="1944"/>
      <c r="C1" s="1944"/>
      <c r="D1" s="1944"/>
      <c r="E1" s="1944"/>
      <c r="F1" s="1944"/>
      <c r="G1" s="1944"/>
      <c r="H1" s="1944"/>
    </row>
    <row r="2" spans="1:8">
      <c r="A2" s="1944" t="s">
        <v>876</v>
      </c>
      <c r="B2" s="1944"/>
      <c r="C2" s="1944"/>
      <c r="D2" s="1944"/>
      <c r="E2" s="1944"/>
      <c r="F2" s="1944"/>
      <c r="G2" s="1944"/>
      <c r="H2" s="1944"/>
    </row>
    <row r="3" spans="1:8">
      <c r="A3" s="823"/>
      <c r="B3" s="823"/>
      <c r="C3" s="823"/>
      <c r="D3" s="823"/>
      <c r="E3" s="823"/>
      <c r="F3" s="823"/>
      <c r="G3" s="823"/>
      <c r="H3" s="823" t="s">
        <v>295</v>
      </c>
    </row>
    <row r="4" spans="1:8" ht="50.25" customHeight="1">
      <c r="A4" s="824" t="s">
        <v>827</v>
      </c>
      <c r="B4" s="825" t="s">
        <v>829</v>
      </c>
      <c r="C4" s="826">
        <v>2020</v>
      </c>
      <c r="D4" s="826">
        <v>2019</v>
      </c>
      <c r="E4" s="827" t="s">
        <v>877</v>
      </c>
      <c r="F4" s="827" t="s">
        <v>878</v>
      </c>
      <c r="G4" s="827" t="s">
        <v>1322</v>
      </c>
      <c r="H4" s="827" t="s">
        <v>961</v>
      </c>
    </row>
    <row r="5" spans="1:8">
      <c r="A5" s="782" t="s">
        <v>879</v>
      </c>
      <c r="B5" s="782">
        <v>2110</v>
      </c>
      <c r="C5" s="828">
        <v>64412</v>
      </c>
      <c r="D5" s="828">
        <v>61463</v>
      </c>
      <c r="E5" s="829">
        <f t="shared" ref="E5:E22" si="0">C5-D5</f>
        <v>2949</v>
      </c>
      <c r="F5" s="830">
        <f>IF(D5&gt;0,E5/D5, " ")</f>
        <v>4.7980085579942405E-2</v>
      </c>
      <c r="G5" s="831">
        <f>C5/$C$5</f>
        <v>1</v>
      </c>
      <c r="H5" s="831">
        <f>D5/$D$5</f>
        <v>1</v>
      </c>
    </row>
    <row r="6" spans="1:8">
      <c r="A6" s="782" t="s">
        <v>880</v>
      </c>
      <c r="B6" s="782">
        <v>2120</v>
      </c>
      <c r="C6" s="828">
        <v>49855</v>
      </c>
      <c r="D6" s="828">
        <v>59867</v>
      </c>
      <c r="E6" s="829">
        <f t="shared" si="0"/>
        <v>-10012</v>
      </c>
      <c r="F6" s="830">
        <f t="shared" ref="F6:F22" si="1">IF(D6&gt;0,E6/D6, " ")</f>
        <v>-0.16723737618387424</v>
      </c>
      <c r="G6" s="831">
        <f t="shared" ref="G6:G22" si="2">C6/$C$5</f>
        <v>0.77400173880643364</v>
      </c>
      <c r="H6" s="831">
        <f>D6/$D$5</f>
        <v>0.97403315816019398</v>
      </c>
    </row>
    <row r="7" spans="1:8">
      <c r="A7" s="801" t="s">
        <v>881</v>
      </c>
      <c r="B7" s="801">
        <v>2100</v>
      </c>
      <c r="C7" s="832">
        <v>14557</v>
      </c>
      <c r="D7" s="832">
        <v>1596</v>
      </c>
      <c r="E7" s="833">
        <f t="shared" si="0"/>
        <v>12961</v>
      </c>
      <c r="F7" s="834">
        <f t="shared" si="1"/>
        <v>8.12092731829574</v>
      </c>
      <c r="G7" s="835">
        <f t="shared" si="2"/>
        <v>0.22599826119356642</v>
      </c>
      <c r="H7" s="835">
        <f t="shared" ref="H7:H22" si="3">D7/$D$5</f>
        <v>2.5966841839806062E-2</v>
      </c>
    </row>
    <row r="8" spans="1:8">
      <c r="A8" s="782" t="s">
        <v>882</v>
      </c>
      <c r="B8" s="782">
        <v>2210</v>
      </c>
      <c r="C8" s="828"/>
      <c r="D8" s="828"/>
      <c r="E8" s="829">
        <f t="shared" si="0"/>
        <v>0</v>
      </c>
      <c r="F8" s="830" t="str">
        <f t="shared" si="1"/>
        <v xml:space="preserve"> </v>
      </c>
      <c r="G8" s="831">
        <f t="shared" si="2"/>
        <v>0</v>
      </c>
      <c r="H8" s="831">
        <f t="shared" si="3"/>
        <v>0</v>
      </c>
    </row>
    <row r="9" spans="1:8">
      <c r="A9" s="782" t="s">
        <v>883</v>
      </c>
      <c r="B9" s="782">
        <v>2220</v>
      </c>
      <c r="C9" s="828">
        <v>6222</v>
      </c>
      <c r="D9" s="828"/>
      <c r="E9" s="829">
        <f t="shared" si="0"/>
        <v>6222</v>
      </c>
      <c r="F9" s="830" t="str">
        <f t="shared" si="1"/>
        <v xml:space="preserve"> </v>
      </c>
      <c r="G9" s="831">
        <f t="shared" si="2"/>
        <v>9.6596907408557406E-2</v>
      </c>
      <c r="H9" s="831">
        <f t="shared" si="3"/>
        <v>0</v>
      </c>
    </row>
    <row r="10" spans="1:8">
      <c r="A10" s="801" t="s">
        <v>789</v>
      </c>
      <c r="B10" s="801">
        <v>2200</v>
      </c>
      <c r="C10" s="832">
        <v>8335</v>
      </c>
      <c r="D10" s="832">
        <v>1596</v>
      </c>
      <c r="E10" s="833">
        <f t="shared" si="0"/>
        <v>6739</v>
      </c>
      <c r="F10" s="834">
        <f t="shared" si="1"/>
        <v>4.2224310776942353</v>
      </c>
      <c r="G10" s="835">
        <f t="shared" si="2"/>
        <v>0.129401353785009</v>
      </c>
      <c r="H10" s="835">
        <f t="shared" si="3"/>
        <v>2.5966841839806062E-2</v>
      </c>
    </row>
    <row r="11" spans="1:8">
      <c r="A11" s="782" t="s">
        <v>884</v>
      </c>
      <c r="B11" s="782">
        <v>2310</v>
      </c>
      <c r="C11" s="828"/>
      <c r="D11" s="828"/>
      <c r="E11" s="829">
        <f t="shared" si="0"/>
        <v>0</v>
      </c>
      <c r="F11" s="830" t="str">
        <f t="shared" si="1"/>
        <v xml:space="preserve"> </v>
      </c>
      <c r="G11" s="831">
        <f t="shared" si="2"/>
        <v>0</v>
      </c>
      <c r="H11" s="831">
        <f t="shared" si="3"/>
        <v>0</v>
      </c>
    </row>
    <row r="12" spans="1:8">
      <c r="A12" s="782" t="s">
        <v>885</v>
      </c>
      <c r="B12" s="782">
        <v>2320</v>
      </c>
      <c r="C12" s="828"/>
      <c r="D12" s="828"/>
      <c r="E12" s="829">
        <f t="shared" si="0"/>
        <v>0</v>
      </c>
      <c r="F12" s="830" t="str">
        <f t="shared" si="1"/>
        <v xml:space="preserve"> </v>
      </c>
      <c r="G12" s="831">
        <f t="shared" si="2"/>
        <v>0</v>
      </c>
      <c r="H12" s="831">
        <f t="shared" si="3"/>
        <v>0</v>
      </c>
    </row>
    <row r="13" spans="1:8">
      <c r="A13" s="782" t="s">
        <v>886</v>
      </c>
      <c r="B13" s="782">
        <v>2330</v>
      </c>
      <c r="C13" s="828"/>
      <c r="D13" s="828"/>
      <c r="E13" s="829">
        <f t="shared" si="0"/>
        <v>0</v>
      </c>
      <c r="F13" s="830" t="str">
        <f>IF(D13&gt;0,E13/D13, " ")</f>
        <v xml:space="preserve"> </v>
      </c>
      <c r="G13" s="831">
        <f>C13/$C$5</f>
        <v>0</v>
      </c>
      <c r="H13" s="831">
        <f>D13/$D$5</f>
        <v>0</v>
      </c>
    </row>
    <row r="14" spans="1:8">
      <c r="A14" s="782" t="s">
        <v>887</v>
      </c>
      <c r="B14" s="782">
        <v>2340</v>
      </c>
      <c r="C14" s="828">
        <v>181</v>
      </c>
      <c r="D14" s="828">
        <v>12</v>
      </c>
      <c r="E14" s="829">
        <f t="shared" si="0"/>
        <v>169</v>
      </c>
      <c r="F14" s="830">
        <f t="shared" si="1"/>
        <v>14.083333333333334</v>
      </c>
      <c r="G14" s="831">
        <f t="shared" si="2"/>
        <v>2.8100353971309694E-3</v>
      </c>
      <c r="H14" s="831">
        <f t="shared" si="3"/>
        <v>1.9523941232936888E-4</v>
      </c>
    </row>
    <row r="15" spans="1:8">
      <c r="A15" s="782" t="s">
        <v>888</v>
      </c>
      <c r="B15" s="782">
        <v>2350</v>
      </c>
      <c r="C15" s="828">
        <v>1113</v>
      </c>
      <c r="D15" s="828">
        <v>182</v>
      </c>
      <c r="E15" s="829">
        <f t="shared" si="0"/>
        <v>931</v>
      </c>
      <c r="F15" s="830">
        <f t="shared" si="1"/>
        <v>5.115384615384615</v>
      </c>
      <c r="G15" s="831">
        <f t="shared" si="2"/>
        <v>1.7279388933739055E-2</v>
      </c>
      <c r="H15" s="831">
        <f t="shared" si="3"/>
        <v>2.9611310869954283E-3</v>
      </c>
    </row>
    <row r="16" spans="1:8">
      <c r="A16" s="801" t="s">
        <v>889</v>
      </c>
      <c r="B16" s="801">
        <v>2300</v>
      </c>
      <c r="C16" s="832">
        <v>7403</v>
      </c>
      <c r="D16" s="832">
        <v>1426</v>
      </c>
      <c r="E16" s="833">
        <f t="shared" si="0"/>
        <v>5977</v>
      </c>
      <c r="F16" s="834">
        <f t="shared" si="1"/>
        <v>4.191444600280505</v>
      </c>
      <c r="G16" s="835">
        <f t="shared" si="2"/>
        <v>0.11493200024840092</v>
      </c>
      <c r="H16" s="835">
        <f t="shared" si="3"/>
        <v>2.3200950165140004E-2</v>
      </c>
    </row>
    <row r="17" spans="1:8">
      <c r="A17" s="782" t="s">
        <v>890</v>
      </c>
      <c r="B17" s="782">
        <v>2410</v>
      </c>
      <c r="C17" s="836"/>
      <c r="D17" s="836"/>
      <c r="E17" s="837">
        <f t="shared" si="0"/>
        <v>0</v>
      </c>
      <c r="F17" s="830" t="str">
        <f t="shared" si="1"/>
        <v xml:space="preserve"> </v>
      </c>
      <c r="G17" s="838">
        <f t="shared" si="2"/>
        <v>0</v>
      </c>
      <c r="H17" s="838">
        <f t="shared" si="3"/>
        <v>0</v>
      </c>
    </row>
    <row r="18" spans="1:8" ht="26.25">
      <c r="A18" s="839" t="s">
        <v>891</v>
      </c>
      <c r="B18" s="839">
        <v>2421</v>
      </c>
      <c r="C18" s="840"/>
      <c r="D18" s="840"/>
      <c r="E18" s="841">
        <f t="shared" si="0"/>
        <v>0</v>
      </c>
      <c r="F18" s="842" t="str">
        <f>IF(D18&gt;0,E18/D18, " ")</f>
        <v xml:space="preserve"> </v>
      </c>
      <c r="G18" s="843">
        <f>C18/$C$5</f>
        <v>0</v>
      </c>
      <c r="H18" s="843">
        <f>D18/$D$5</f>
        <v>0</v>
      </c>
    </row>
    <row r="19" spans="1:8">
      <c r="A19" s="782" t="s">
        <v>892</v>
      </c>
      <c r="B19" s="782">
        <v>2430</v>
      </c>
      <c r="C19" s="844"/>
      <c r="D19" s="844"/>
      <c r="E19" s="837">
        <f t="shared" si="0"/>
        <v>0</v>
      </c>
      <c r="F19" s="830" t="str">
        <f>IF(D19&gt;0,E19/D19, " ")</f>
        <v xml:space="preserve"> </v>
      </c>
      <c r="G19" s="838">
        <f>C19/$C$5</f>
        <v>0</v>
      </c>
      <c r="H19" s="838">
        <f>D19/$D$5</f>
        <v>0</v>
      </c>
    </row>
    <row r="20" spans="1:8">
      <c r="A20" s="782" t="s">
        <v>893</v>
      </c>
      <c r="B20" s="782">
        <v>2450</v>
      </c>
      <c r="C20" s="844"/>
      <c r="D20" s="844"/>
      <c r="E20" s="837">
        <f t="shared" si="0"/>
        <v>0</v>
      </c>
      <c r="F20" s="830" t="str">
        <f>IF(D20&gt;0,E20/D20, " ")</f>
        <v xml:space="preserve"> </v>
      </c>
      <c r="G20" s="838">
        <f>C20/$C$5</f>
        <v>0</v>
      </c>
      <c r="H20" s="838">
        <f>D20/$D$5</f>
        <v>0</v>
      </c>
    </row>
    <row r="21" spans="1:8">
      <c r="A21" s="782" t="s">
        <v>894</v>
      </c>
      <c r="B21" s="782">
        <v>2460</v>
      </c>
      <c r="C21" s="844">
        <v>-1892</v>
      </c>
      <c r="D21" s="844">
        <v>-1625</v>
      </c>
      <c r="E21" s="837">
        <f t="shared" si="0"/>
        <v>-267</v>
      </c>
      <c r="F21" s="830" t="str">
        <f>IF(D21&gt;0,E21/D21, " ")</f>
        <v xml:space="preserve"> </v>
      </c>
      <c r="G21" s="838">
        <f>C21/$C$5</f>
        <v>-2.9373408681612121E-2</v>
      </c>
      <c r="H21" s="838">
        <f>D21/$D$5</f>
        <v>-2.6438670419602038E-2</v>
      </c>
    </row>
    <row r="22" spans="1:8">
      <c r="A22" s="795" t="s">
        <v>895</v>
      </c>
      <c r="B22" s="795">
        <v>2400</v>
      </c>
      <c r="C22" s="845">
        <v>5511</v>
      </c>
      <c r="D22" s="845">
        <v>-199</v>
      </c>
      <c r="E22" s="846">
        <f t="shared" si="0"/>
        <v>5710</v>
      </c>
      <c r="F22" s="834" t="str">
        <f t="shared" si="1"/>
        <v xml:space="preserve"> </v>
      </c>
      <c r="G22" s="847">
        <f t="shared" si="2"/>
        <v>8.55585915667888E-2</v>
      </c>
      <c r="H22" s="847">
        <f t="shared" si="3"/>
        <v>-3.2377202544620343E-3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96" orientation="landscape" blackAndWhite="1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B1:N51"/>
  <sheetViews>
    <sheetView topLeftCell="A10" workbookViewId="0">
      <selection activeCell="E29" sqref="E29"/>
    </sheetView>
  </sheetViews>
  <sheetFormatPr defaultRowHeight="12.75"/>
  <cols>
    <col min="1" max="2" width="9.140625" style="1227"/>
    <col min="3" max="3" width="43.7109375" style="1227" customWidth="1"/>
    <col min="4" max="4" width="11.85546875" style="1234" customWidth="1"/>
    <col min="5" max="5" width="14" style="1234" customWidth="1"/>
    <col min="6" max="248" width="9.140625" style="1227"/>
    <col min="249" max="249" width="82" style="1227" customWidth="1"/>
    <col min="250" max="504" width="9.140625" style="1227"/>
    <col min="505" max="505" width="82" style="1227" customWidth="1"/>
    <col min="506" max="760" width="9.140625" style="1227"/>
    <col min="761" max="761" width="82" style="1227" customWidth="1"/>
    <col min="762" max="1016" width="9.140625" style="1227"/>
    <col min="1017" max="1017" width="82" style="1227" customWidth="1"/>
    <col min="1018" max="1272" width="9.140625" style="1227"/>
    <col min="1273" max="1273" width="82" style="1227" customWidth="1"/>
    <col min="1274" max="1528" width="9.140625" style="1227"/>
    <col min="1529" max="1529" width="82" style="1227" customWidth="1"/>
    <col min="1530" max="1784" width="9.140625" style="1227"/>
    <col min="1785" max="1785" width="82" style="1227" customWidth="1"/>
    <col min="1786" max="2040" width="9.140625" style="1227"/>
    <col min="2041" max="2041" width="82" style="1227" customWidth="1"/>
    <col min="2042" max="2296" width="9.140625" style="1227"/>
    <col min="2297" max="2297" width="82" style="1227" customWidth="1"/>
    <col min="2298" max="2552" width="9.140625" style="1227"/>
    <col min="2553" max="2553" width="82" style="1227" customWidth="1"/>
    <col min="2554" max="2808" width="9.140625" style="1227"/>
    <col min="2809" max="2809" width="82" style="1227" customWidth="1"/>
    <col min="2810" max="3064" width="9.140625" style="1227"/>
    <col min="3065" max="3065" width="82" style="1227" customWidth="1"/>
    <col min="3066" max="3320" width="9.140625" style="1227"/>
    <col min="3321" max="3321" width="82" style="1227" customWidth="1"/>
    <col min="3322" max="3576" width="9.140625" style="1227"/>
    <col min="3577" max="3577" width="82" style="1227" customWidth="1"/>
    <col min="3578" max="3832" width="9.140625" style="1227"/>
    <col min="3833" max="3833" width="82" style="1227" customWidth="1"/>
    <col min="3834" max="4088" width="9.140625" style="1227"/>
    <col min="4089" max="4089" width="82" style="1227" customWidth="1"/>
    <col min="4090" max="4344" width="9.140625" style="1227"/>
    <col min="4345" max="4345" width="82" style="1227" customWidth="1"/>
    <col min="4346" max="4600" width="9.140625" style="1227"/>
    <col min="4601" max="4601" width="82" style="1227" customWidth="1"/>
    <col min="4602" max="4856" width="9.140625" style="1227"/>
    <col min="4857" max="4857" width="82" style="1227" customWidth="1"/>
    <col min="4858" max="5112" width="9.140625" style="1227"/>
    <col min="5113" max="5113" width="82" style="1227" customWidth="1"/>
    <col min="5114" max="5368" width="9.140625" style="1227"/>
    <col min="5369" max="5369" width="82" style="1227" customWidth="1"/>
    <col min="5370" max="5624" width="9.140625" style="1227"/>
    <col min="5625" max="5625" width="82" style="1227" customWidth="1"/>
    <col min="5626" max="5880" width="9.140625" style="1227"/>
    <col min="5881" max="5881" width="82" style="1227" customWidth="1"/>
    <col min="5882" max="6136" width="9.140625" style="1227"/>
    <col min="6137" max="6137" width="82" style="1227" customWidth="1"/>
    <col min="6138" max="6392" width="9.140625" style="1227"/>
    <col min="6393" max="6393" width="82" style="1227" customWidth="1"/>
    <col min="6394" max="6648" width="9.140625" style="1227"/>
    <col min="6649" max="6649" width="82" style="1227" customWidth="1"/>
    <col min="6650" max="6904" width="9.140625" style="1227"/>
    <col min="6905" max="6905" width="82" style="1227" customWidth="1"/>
    <col min="6906" max="7160" width="9.140625" style="1227"/>
    <col min="7161" max="7161" width="82" style="1227" customWidth="1"/>
    <col min="7162" max="7416" width="9.140625" style="1227"/>
    <col min="7417" max="7417" width="82" style="1227" customWidth="1"/>
    <col min="7418" max="7672" width="9.140625" style="1227"/>
    <col min="7673" max="7673" width="82" style="1227" customWidth="1"/>
    <col min="7674" max="7928" width="9.140625" style="1227"/>
    <col min="7929" max="7929" width="82" style="1227" customWidth="1"/>
    <col min="7930" max="8184" width="9.140625" style="1227"/>
    <col min="8185" max="8185" width="82" style="1227" customWidth="1"/>
    <col min="8186" max="8440" width="9.140625" style="1227"/>
    <col min="8441" max="8441" width="82" style="1227" customWidth="1"/>
    <col min="8442" max="8696" width="9.140625" style="1227"/>
    <col min="8697" max="8697" width="82" style="1227" customWidth="1"/>
    <col min="8698" max="8952" width="9.140625" style="1227"/>
    <col min="8953" max="8953" width="82" style="1227" customWidth="1"/>
    <col min="8954" max="9208" width="9.140625" style="1227"/>
    <col min="9209" max="9209" width="82" style="1227" customWidth="1"/>
    <col min="9210" max="9464" width="9.140625" style="1227"/>
    <col min="9465" max="9465" width="82" style="1227" customWidth="1"/>
    <col min="9466" max="9720" width="9.140625" style="1227"/>
    <col min="9721" max="9721" width="82" style="1227" customWidth="1"/>
    <col min="9722" max="9976" width="9.140625" style="1227"/>
    <col min="9977" max="9977" width="82" style="1227" customWidth="1"/>
    <col min="9978" max="10232" width="9.140625" style="1227"/>
    <col min="10233" max="10233" width="82" style="1227" customWidth="1"/>
    <col min="10234" max="10488" width="9.140625" style="1227"/>
    <col min="10489" max="10489" width="82" style="1227" customWidth="1"/>
    <col min="10490" max="10744" width="9.140625" style="1227"/>
    <col min="10745" max="10745" width="82" style="1227" customWidth="1"/>
    <col min="10746" max="11000" width="9.140625" style="1227"/>
    <col min="11001" max="11001" width="82" style="1227" customWidth="1"/>
    <col min="11002" max="11256" width="9.140625" style="1227"/>
    <col min="11257" max="11257" width="82" style="1227" customWidth="1"/>
    <col min="11258" max="11512" width="9.140625" style="1227"/>
    <col min="11513" max="11513" width="82" style="1227" customWidth="1"/>
    <col min="11514" max="11768" width="9.140625" style="1227"/>
    <col min="11769" max="11769" width="82" style="1227" customWidth="1"/>
    <col min="11770" max="12024" width="9.140625" style="1227"/>
    <col min="12025" max="12025" width="82" style="1227" customWidth="1"/>
    <col min="12026" max="12280" width="9.140625" style="1227"/>
    <col min="12281" max="12281" width="82" style="1227" customWidth="1"/>
    <col min="12282" max="12536" width="9.140625" style="1227"/>
    <col min="12537" max="12537" width="82" style="1227" customWidth="1"/>
    <col min="12538" max="12792" width="9.140625" style="1227"/>
    <col min="12793" max="12793" width="82" style="1227" customWidth="1"/>
    <col min="12794" max="13048" width="9.140625" style="1227"/>
    <col min="13049" max="13049" width="82" style="1227" customWidth="1"/>
    <col min="13050" max="13304" width="9.140625" style="1227"/>
    <col min="13305" max="13305" width="82" style="1227" customWidth="1"/>
    <col min="13306" max="13560" width="9.140625" style="1227"/>
    <col min="13561" max="13561" width="82" style="1227" customWidth="1"/>
    <col min="13562" max="13816" width="9.140625" style="1227"/>
    <col min="13817" max="13817" width="82" style="1227" customWidth="1"/>
    <col min="13818" max="14072" width="9.140625" style="1227"/>
    <col min="14073" max="14073" width="82" style="1227" customWidth="1"/>
    <col min="14074" max="14328" width="9.140625" style="1227"/>
    <col min="14329" max="14329" width="82" style="1227" customWidth="1"/>
    <col min="14330" max="14584" width="9.140625" style="1227"/>
    <col min="14585" max="14585" width="82" style="1227" customWidth="1"/>
    <col min="14586" max="14840" width="9.140625" style="1227"/>
    <col min="14841" max="14841" width="82" style="1227" customWidth="1"/>
    <col min="14842" max="15096" width="9.140625" style="1227"/>
    <col min="15097" max="15097" width="82" style="1227" customWidth="1"/>
    <col min="15098" max="15352" width="9.140625" style="1227"/>
    <col min="15353" max="15353" width="82" style="1227" customWidth="1"/>
    <col min="15354" max="15608" width="9.140625" style="1227"/>
    <col min="15609" max="15609" width="82" style="1227" customWidth="1"/>
    <col min="15610" max="15864" width="9.140625" style="1227"/>
    <col min="15865" max="15865" width="82" style="1227" customWidth="1"/>
    <col min="15866" max="16120" width="9.140625" style="1227"/>
    <col min="16121" max="16121" width="82" style="1227" customWidth="1"/>
    <col min="16122" max="16384" width="9.140625" style="1227"/>
  </cols>
  <sheetData>
    <row r="1" spans="2:9" ht="25.5" customHeight="1">
      <c r="B1" s="1946" t="s">
        <v>244</v>
      </c>
      <c r="C1" s="1946" t="s">
        <v>1002</v>
      </c>
      <c r="D1" s="1226" t="s">
        <v>1004</v>
      </c>
      <c r="E1" s="1226"/>
      <c r="F1" s="1945" t="s">
        <v>1005</v>
      </c>
      <c r="G1" s="1945"/>
      <c r="H1" s="1945" t="s">
        <v>640</v>
      </c>
      <c r="I1" s="1945"/>
    </row>
    <row r="2" spans="2:9" ht="30" customHeight="1">
      <c r="B2" s="1946"/>
      <c r="C2" s="1946"/>
      <c r="D2" s="1541" t="s">
        <v>923</v>
      </c>
      <c r="E2" s="1541" t="s">
        <v>1375</v>
      </c>
      <c r="F2" s="1541" t="s">
        <v>923</v>
      </c>
      <c r="G2" s="1541" t="s">
        <v>1375</v>
      </c>
      <c r="H2" s="1541" t="s">
        <v>923</v>
      </c>
      <c r="I2" s="1541" t="s">
        <v>1375</v>
      </c>
    </row>
    <row r="3" spans="2:9" ht="23.25" customHeight="1">
      <c r="B3" s="250">
        <v>1</v>
      </c>
      <c r="C3" s="1258" t="s">
        <v>85</v>
      </c>
      <c r="D3" s="1229">
        <f>'Свод долгосрочный '!H18</f>
        <v>25545.44060696449</v>
      </c>
      <c r="E3" s="1230">
        <f>E4+E6+E7+E8+E22</f>
        <v>18235.263000000003</v>
      </c>
      <c r="F3" s="1231"/>
      <c r="G3" s="1232"/>
      <c r="H3" s="1233"/>
      <c r="I3" s="1228"/>
    </row>
    <row r="4" spans="2:9" ht="23.25" customHeight="1">
      <c r="B4" s="197" t="s">
        <v>298</v>
      </c>
      <c r="C4" s="1228" t="s">
        <v>52</v>
      </c>
      <c r="E4" s="1229">
        <f>E5</f>
        <v>1266.5</v>
      </c>
      <c r="F4" s="1228"/>
      <c r="G4" s="1235"/>
      <c r="H4" s="1236"/>
      <c r="I4" s="1228"/>
    </row>
    <row r="5" spans="2:9" ht="23.25" customHeight="1">
      <c r="B5" s="197" t="s">
        <v>53</v>
      </c>
      <c r="C5" s="1228" t="s">
        <v>54</v>
      </c>
      <c r="D5" s="1229">
        <f>'Свод долгосрочный '!H25</f>
        <v>2102.89</v>
      </c>
      <c r="E5" s="1229">
        <f>'Сводная 2020'!BV14</f>
        <v>1266.5</v>
      </c>
      <c r="F5" s="1228"/>
      <c r="G5" s="1235"/>
      <c r="H5" s="1236"/>
      <c r="I5" s="1237"/>
    </row>
    <row r="6" spans="2:9" ht="23.25" customHeight="1">
      <c r="B6" s="197" t="s">
        <v>1501</v>
      </c>
      <c r="C6" s="1228" t="s">
        <v>1212</v>
      </c>
      <c r="D6" s="1229">
        <f>'Свод долгосрочный '!H26</f>
        <v>455.7610204074</v>
      </c>
      <c r="E6" s="1229">
        <f>'Сводная 2020'!BV15</f>
        <v>695.7</v>
      </c>
      <c r="F6" s="1228"/>
      <c r="G6" s="1235"/>
      <c r="H6" s="1236"/>
      <c r="I6" s="1228"/>
    </row>
    <row r="7" spans="2:9" ht="23.25" customHeight="1">
      <c r="B7" s="197" t="s">
        <v>260</v>
      </c>
      <c r="C7" s="1228" t="s">
        <v>57</v>
      </c>
      <c r="D7" s="1238">
        <f>'Свод долгосрочный '!H22</f>
        <v>16150.9752381129</v>
      </c>
      <c r="E7" s="1229">
        <f>'Сводная 2020'!BV21</f>
        <v>12737.7</v>
      </c>
      <c r="F7" s="1228"/>
      <c r="G7" s="1235">
        <v>168.6</v>
      </c>
      <c r="H7" s="1236"/>
      <c r="I7" s="1237"/>
    </row>
    <row r="8" spans="2:9" ht="23.25" customHeight="1">
      <c r="B8" s="197" t="s">
        <v>6</v>
      </c>
      <c r="C8" s="1228" t="s">
        <v>58</v>
      </c>
      <c r="D8" s="1239">
        <f>'Свод долгосрочный '!H28</f>
        <v>5597.4943933066543</v>
      </c>
      <c r="E8" s="1229">
        <f>E9+E10+E17+E18+E19+E20+E21</f>
        <v>3535.3629999999998</v>
      </c>
      <c r="F8" s="1228"/>
      <c r="G8" s="1235"/>
      <c r="H8" s="1236"/>
      <c r="I8" s="1228"/>
    </row>
    <row r="9" spans="2:9" ht="23.25" customHeight="1">
      <c r="B9" s="197" t="s">
        <v>59</v>
      </c>
      <c r="C9" s="1597" t="s">
        <v>1500</v>
      </c>
      <c r="D9" s="1229">
        <f>'Свод долгосрочный '!H29</f>
        <v>4873.4579899999999</v>
      </c>
      <c r="E9" s="1229">
        <f>'Сводная 2020'!BV17+'Сводная 2020'!BV18+'Сводная 2020'!BV19+'Сводная 2020'!BV20</f>
        <v>2714.5410000000002</v>
      </c>
      <c r="F9" s="1228"/>
      <c r="G9" s="1235"/>
      <c r="H9" s="1236"/>
      <c r="I9" s="1228"/>
    </row>
    <row r="10" spans="2:9" ht="16.5" customHeight="1">
      <c r="B10" s="197" t="s">
        <v>60</v>
      </c>
      <c r="C10" s="1228" t="s">
        <v>61</v>
      </c>
      <c r="D10" s="889">
        <f>'Свод долгосрочный '!H30</f>
        <v>164.12918150729999</v>
      </c>
      <c r="E10" s="1251">
        <f>E11+E12+E13+E14+E15+E16</f>
        <v>467.62199999999996</v>
      </c>
      <c r="F10" s="1228"/>
      <c r="G10" s="1235"/>
      <c r="H10" s="1236"/>
      <c r="I10" s="1228"/>
    </row>
    <row r="11" spans="2:9" ht="23.25" customHeight="1">
      <c r="B11" s="197" t="s">
        <v>62</v>
      </c>
      <c r="C11" s="1228" t="s">
        <v>63</v>
      </c>
      <c r="D11" s="1229">
        <f>'Свод долгосрочный '!H31</f>
        <v>63.105889527300029</v>
      </c>
      <c r="E11" s="1229">
        <f>'Сводная 2020'!BV23</f>
        <v>81.289000000000001</v>
      </c>
      <c r="F11" s="1228"/>
      <c r="G11" s="1235"/>
      <c r="H11" s="1236"/>
      <c r="I11" s="1228"/>
    </row>
    <row r="12" spans="2:9" ht="23.25" customHeight="1">
      <c r="B12" s="197" t="s">
        <v>65</v>
      </c>
      <c r="C12" s="1228" t="s">
        <v>64</v>
      </c>
      <c r="D12" s="1229"/>
      <c r="E12" s="1229"/>
      <c r="F12" s="1228"/>
      <c r="G12" s="1235"/>
      <c r="H12" s="1236"/>
      <c r="I12" s="1228"/>
    </row>
    <row r="13" spans="2:9" ht="23.25" customHeight="1">
      <c r="B13" s="197" t="s">
        <v>66</v>
      </c>
      <c r="C13" s="1228" t="s">
        <v>67</v>
      </c>
      <c r="D13" s="1229">
        <f>'Свод долгосрочный '!H33</f>
        <v>101.02329197999997</v>
      </c>
      <c r="E13" s="1229">
        <f>'Сводная 2020'!BV24</f>
        <v>67.282999999999987</v>
      </c>
      <c r="F13" s="1228"/>
      <c r="G13" s="1235"/>
      <c r="H13" s="1236"/>
      <c r="I13" s="1228"/>
    </row>
    <row r="14" spans="2:9" ht="23.25" customHeight="1">
      <c r="B14" s="197" t="s">
        <v>68</v>
      </c>
      <c r="C14" s="1228" t="s">
        <v>69</v>
      </c>
      <c r="D14" s="1229"/>
      <c r="E14" s="1229"/>
      <c r="F14" s="1228" t="s">
        <v>1371</v>
      </c>
      <c r="G14" s="1235"/>
      <c r="H14" s="1236"/>
      <c r="I14" s="1228"/>
    </row>
    <row r="15" spans="2:9" ht="23.25" customHeight="1">
      <c r="B15" s="197" t="s">
        <v>70</v>
      </c>
      <c r="C15" s="1228" t="s">
        <v>71</v>
      </c>
      <c r="D15" s="1229"/>
      <c r="E15" s="1229"/>
      <c r="F15" s="1228"/>
      <c r="G15" s="1235"/>
      <c r="H15" s="1236"/>
      <c r="I15" s="1228"/>
    </row>
    <row r="16" spans="2:9" ht="23.25" customHeight="1">
      <c r="B16" s="197" t="s">
        <v>72</v>
      </c>
      <c r="C16" s="1228" t="s">
        <v>73</v>
      </c>
      <c r="D16" s="1229">
        <v>411.65</v>
      </c>
      <c r="E16" s="1229">
        <f>'Сводная 2020'!BV25</f>
        <v>319.04999999999995</v>
      </c>
      <c r="F16" s="1228" t="s">
        <v>1371</v>
      </c>
      <c r="G16" s="1235"/>
      <c r="H16" s="1236"/>
      <c r="I16" s="1228"/>
    </row>
    <row r="17" spans="2:9" ht="23.25" customHeight="1">
      <c r="B17" s="197" t="s">
        <v>74</v>
      </c>
      <c r="C17" s="1228" t="s">
        <v>75</v>
      </c>
      <c r="D17" s="1229">
        <f>'Свод долгосрочный '!H37</f>
        <v>12.780754992354638</v>
      </c>
      <c r="E17" s="1229"/>
      <c r="F17" s="1228"/>
      <c r="G17" s="1235"/>
      <c r="H17" s="1236"/>
      <c r="I17" s="1228"/>
    </row>
    <row r="18" spans="2:9" ht="23.25" customHeight="1">
      <c r="B18" s="197" t="s">
        <v>76</v>
      </c>
      <c r="C18" s="1228" t="s">
        <v>77</v>
      </c>
      <c r="D18" s="1229">
        <f>'Свод долгосрочный '!H38</f>
        <v>97.164740999999992</v>
      </c>
      <c r="E18" s="1229">
        <f>'Сводная 2020'!BV27</f>
        <v>97</v>
      </c>
      <c r="F18" s="1228" t="s">
        <v>1371</v>
      </c>
      <c r="G18" s="1235"/>
      <c r="H18" s="1236"/>
      <c r="I18" s="1228"/>
    </row>
    <row r="19" spans="2:9" ht="23.25" customHeight="1">
      <c r="B19" s="197" t="s">
        <v>78</v>
      </c>
      <c r="C19" s="1228" t="s">
        <v>79</v>
      </c>
      <c r="D19" s="1229">
        <f>'Свод долгосрочный '!H39</f>
        <v>375.12311292319998</v>
      </c>
      <c r="E19" s="1229"/>
      <c r="F19" s="1228"/>
      <c r="G19" s="1235"/>
      <c r="H19" s="1236"/>
      <c r="I19" s="1228"/>
    </row>
    <row r="20" spans="2:9" ht="23.25" customHeight="1">
      <c r="B20" s="197" t="s">
        <v>80</v>
      </c>
      <c r="C20" s="1228" t="s">
        <v>81</v>
      </c>
      <c r="D20" s="1229"/>
      <c r="E20" s="1229">
        <f>'Сводная 2020'!BV28</f>
        <v>47.1</v>
      </c>
      <c r="F20" s="1228"/>
      <c r="G20" s="1235"/>
      <c r="H20" s="1236"/>
      <c r="I20" s="1228"/>
    </row>
    <row r="21" spans="2:9" ht="18.75" customHeight="1">
      <c r="B21" s="197" t="s">
        <v>82</v>
      </c>
      <c r="C21" s="1228" t="s">
        <v>1372</v>
      </c>
      <c r="D21" s="1229">
        <f>'Свод долгосрочный '!H41</f>
        <v>74.838612883799996</v>
      </c>
      <c r="E21" s="1229">
        <f>'Сводная 2020'!BV30+'Сводная 2020'!BV31+'Сводная 2020'!BV32+'Сводная 2020'!BV33+'Сводная 2020'!BV34+'Сводная 2020'!BV35+'Сводная 2020'!BV36+'Сводная 2020'!BV37</f>
        <v>209.1</v>
      </c>
      <c r="F21" s="1228"/>
      <c r="G21" s="1235">
        <v>38</v>
      </c>
      <c r="H21" s="1236"/>
      <c r="I21" s="1237"/>
    </row>
    <row r="22" spans="2:9" ht="23.25" customHeight="1">
      <c r="B22" s="197" t="s">
        <v>7</v>
      </c>
      <c r="C22" s="1228" t="s">
        <v>84</v>
      </c>
      <c r="D22" s="1600">
        <f>'Свод долгосрочный '!H42</f>
        <v>693.14112827000008</v>
      </c>
      <c r="E22" s="1600"/>
      <c r="F22" s="1228"/>
      <c r="G22" s="1235"/>
      <c r="H22" s="1236"/>
      <c r="I22" s="1228"/>
    </row>
    <row r="23" spans="2:9" ht="23.25" customHeight="1">
      <c r="B23" s="197"/>
      <c r="C23" s="1258" t="s">
        <v>87</v>
      </c>
      <c r="D23" s="1229"/>
      <c r="E23" s="1229"/>
      <c r="F23" s="1228"/>
      <c r="G23" s="1235"/>
      <c r="H23" s="1236"/>
      <c r="I23" s="1228"/>
    </row>
    <row r="24" spans="2:9" ht="23.25" customHeight="1">
      <c r="B24" s="250">
        <v>2</v>
      </c>
      <c r="C24" s="1228" t="s">
        <v>31</v>
      </c>
      <c r="D24" s="1229">
        <f>'Свод долгосрочный '!H44</f>
        <v>8577.0454225761059</v>
      </c>
      <c r="E24" s="1240">
        <f>E25+E28+E29+E30+E31+E35+E36+E37+E38+E39+E40</f>
        <v>8237.9105</v>
      </c>
      <c r="F24" s="1228"/>
      <c r="G24" s="1235"/>
      <c r="H24" s="1236"/>
      <c r="I24" s="1228"/>
    </row>
    <row r="25" spans="2:9" ht="23.25" customHeight="1">
      <c r="B25" s="197" t="s">
        <v>247</v>
      </c>
      <c r="C25" s="1228" t="s">
        <v>88</v>
      </c>
      <c r="D25" s="1229"/>
      <c r="E25" s="1229"/>
      <c r="F25" s="1228"/>
      <c r="G25" s="1235"/>
      <c r="H25" s="1236"/>
      <c r="I25" s="1228"/>
    </row>
    <row r="26" spans="2:9" ht="23.25" customHeight="1">
      <c r="B26" s="197"/>
      <c r="C26" s="1228" t="s">
        <v>509</v>
      </c>
      <c r="D26" s="1229"/>
      <c r="E26" s="1229"/>
      <c r="F26" s="1228"/>
      <c r="G26" s="1235"/>
      <c r="H26" s="1236"/>
      <c r="I26" s="1228"/>
    </row>
    <row r="27" spans="2:9" ht="23.25" customHeight="1">
      <c r="B27" s="197"/>
      <c r="C27" s="1228" t="s">
        <v>510</v>
      </c>
      <c r="D27" s="1229"/>
      <c r="E27" s="1229"/>
      <c r="F27" s="1228"/>
      <c r="G27" s="1235"/>
      <c r="H27" s="1236"/>
      <c r="I27" s="1228"/>
    </row>
    <row r="28" spans="2:9" ht="23.25" customHeight="1">
      <c r="B28" s="197" t="s">
        <v>248</v>
      </c>
      <c r="C28" s="1228" t="s">
        <v>89</v>
      </c>
      <c r="D28" s="1229">
        <f>'Свод долгосрочный '!H48</f>
        <v>63.618986221199997</v>
      </c>
      <c r="E28" s="1543">
        <f>'Сводная 2020'!$BV$39</f>
        <v>67.06</v>
      </c>
      <c r="F28" s="1228"/>
      <c r="G28" s="1235"/>
      <c r="H28" s="1236"/>
      <c r="I28" s="1237"/>
    </row>
    <row r="29" spans="2:9" ht="23.25" customHeight="1">
      <c r="B29" s="197" t="s">
        <v>19</v>
      </c>
      <c r="C29" s="1228" t="s">
        <v>487</v>
      </c>
      <c r="D29" s="1229">
        <f>'Свод долгосрочный '!H49</f>
        <v>75.359380000000002</v>
      </c>
      <c r="E29" s="1229">
        <f>'Сводная 2020'!$BV$42</f>
        <v>120.30000000000001</v>
      </c>
      <c r="F29" s="1228"/>
      <c r="G29" s="1235"/>
      <c r="H29" s="1236"/>
      <c r="I29" s="1228"/>
    </row>
    <row r="30" spans="2:9" ht="23.25" customHeight="1">
      <c r="B30" s="197" t="s">
        <v>20</v>
      </c>
      <c r="C30" s="1228" t="s">
        <v>596</v>
      </c>
      <c r="D30" s="1229">
        <f>'Свод долгосрочный '!H50</f>
        <v>339.41999999999996</v>
      </c>
      <c r="E30" s="1543">
        <f>'Сводная 2020'!$BV$40</f>
        <v>517.70000000000005</v>
      </c>
      <c r="F30" s="1228"/>
      <c r="G30" s="1235"/>
      <c r="H30" s="1236"/>
      <c r="I30" s="1228"/>
    </row>
    <row r="31" spans="2:9" ht="23.25" customHeight="1">
      <c r="B31" s="197" t="s">
        <v>21</v>
      </c>
      <c r="C31" s="1228" t="s">
        <v>90</v>
      </c>
      <c r="D31" s="1229">
        <f>'Свод долгосрочный '!H51</f>
        <v>92.959460759252195</v>
      </c>
      <c r="E31" s="1240">
        <f>E32+E33+E34</f>
        <v>127.2274</v>
      </c>
      <c r="F31" s="1228"/>
      <c r="G31" s="1235"/>
      <c r="H31" s="1236"/>
      <c r="I31" s="1228"/>
    </row>
    <row r="32" spans="2:9" ht="23.25" customHeight="1">
      <c r="B32" s="197" t="s">
        <v>91</v>
      </c>
      <c r="C32" s="1228" t="s">
        <v>92</v>
      </c>
      <c r="D32" s="1621">
        <f>'Свод долгосрочный '!H52</f>
        <v>39.695810759252197</v>
      </c>
      <c r="E32" s="1543">
        <v>58</v>
      </c>
      <c r="F32" s="1228"/>
      <c r="G32" s="1235"/>
      <c r="H32" s="1236"/>
      <c r="I32" s="1228"/>
    </row>
    <row r="33" spans="2:14" ht="23.25" customHeight="1">
      <c r="B33" s="197" t="s">
        <v>93</v>
      </c>
      <c r="C33" s="1228" t="s">
        <v>94</v>
      </c>
      <c r="D33" s="1229"/>
      <c r="E33" s="1229"/>
      <c r="F33" s="1228"/>
      <c r="G33" s="1235"/>
      <c r="H33" s="1236"/>
      <c r="I33" s="1228"/>
    </row>
    <row r="34" spans="2:14" ht="23.25" customHeight="1">
      <c r="B34" s="197" t="s">
        <v>95</v>
      </c>
      <c r="C34" s="1228" t="s">
        <v>96</v>
      </c>
      <c r="D34" s="1240">
        <f>'Свод долгосрочный '!H58</f>
        <v>53.263649999999998</v>
      </c>
      <c r="E34" s="1544">
        <f>'Сводная 2020'!$BV$46</f>
        <v>69.227400000000003</v>
      </c>
      <c r="F34" s="1228"/>
      <c r="G34" s="1235"/>
      <c r="H34" s="1236"/>
      <c r="I34" s="1228"/>
    </row>
    <row r="35" spans="2:14" ht="23.25" customHeight="1">
      <c r="B35" s="197" t="s">
        <v>22</v>
      </c>
      <c r="C35" s="1228" t="s">
        <v>97</v>
      </c>
      <c r="D35" s="1229">
        <f>'Свод долгосрочный '!H59</f>
        <v>5002.6201830088985</v>
      </c>
      <c r="E35" s="1251">
        <f>'Сводная 2020'!$BV$43</f>
        <v>3859.5230999999999</v>
      </c>
      <c r="G35" s="1235"/>
      <c r="H35" s="1236"/>
      <c r="I35" s="1228"/>
    </row>
    <row r="36" spans="2:14" ht="23.25" customHeight="1" thickBot="1">
      <c r="B36" s="197" t="s">
        <v>99</v>
      </c>
      <c r="C36" s="1228" t="s">
        <v>98</v>
      </c>
      <c r="D36" s="1229"/>
      <c r="E36" s="1229"/>
      <c r="F36" s="1228"/>
      <c r="G36" s="1241"/>
      <c r="H36" s="1236"/>
      <c r="I36" s="1242"/>
    </row>
    <row r="37" spans="2:14" ht="23.25" customHeight="1" thickBot="1">
      <c r="B37" s="197" t="s">
        <v>100</v>
      </c>
      <c r="C37" s="1228" t="s">
        <v>1373</v>
      </c>
      <c r="D37" s="1229">
        <f>'Свод долгосрочный '!H61</f>
        <v>1181.9769858832506</v>
      </c>
      <c r="E37" s="1545">
        <f>'Сводная 2020'!$BV$48</f>
        <v>1707</v>
      </c>
      <c r="F37" s="1243"/>
      <c r="G37" s="1244"/>
      <c r="H37" s="1245"/>
      <c r="I37" s="1246"/>
      <c r="J37" s="1247"/>
      <c r="K37" s="1248"/>
      <c r="L37" s="1247" t="s">
        <v>1374</v>
      </c>
      <c r="M37" s="1247"/>
      <c r="N37" s="1249"/>
    </row>
    <row r="38" spans="2:14" ht="23.25" customHeight="1">
      <c r="B38" s="197" t="s">
        <v>102</v>
      </c>
      <c r="C38" s="1250" t="s">
        <v>667</v>
      </c>
      <c r="D38" s="1229"/>
      <c r="E38" s="1229"/>
      <c r="F38" s="1228"/>
      <c r="G38" s="1232"/>
      <c r="H38" s="1236"/>
      <c r="I38" s="1231"/>
    </row>
    <row r="39" spans="2:14" ht="23.25" customHeight="1">
      <c r="B39" s="1229" t="s">
        <v>103</v>
      </c>
      <c r="C39" s="1228" t="s">
        <v>104</v>
      </c>
      <c r="D39" s="1229">
        <f>'Свод долгосрочный '!H63</f>
        <v>1821.0904267035057</v>
      </c>
      <c r="E39" s="1543">
        <f>'Сводная 2020'!$BV$41</f>
        <v>1839.1</v>
      </c>
      <c r="F39" s="1228"/>
      <c r="G39" s="1235"/>
      <c r="H39" s="1236"/>
      <c r="I39" s="1237"/>
    </row>
    <row r="40" spans="2:14" ht="23.25" customHeight="1">
      <c r="B40" s="1229" t="s">
        <v>105</v>
      </c>
      <c r="C40" s="1228" t="s">
        <v>106</v>
      </c>
      <c r="D40" s="1229"/>
      <c r="E40" s="1229"/>
      <c r="F40" s="1228"/>
      <c r="G40" s="1235"/>
      <c r="H40" s="1236"/>
      <c r="I40" s="1228"/>
    </row>
    <row r="41" spans="2:14" ht="23.25" customHeight="1">
      <c r="B41" s="1229" t="s">
        <v>23</v>
      </c>
      <c r="C41" s="1228" t="s">
        <v>1006</v>
      </c>
      <c r="D41" s="1229">
        <f>'Свод долгосрочный '!H146</f>
        <v>19825.289250291327</v>
      </c>
      <c r="E41" s="1251">
        <v>28054.399999999998</v>
      </c>
      <c r="F41" s="1228"/>
      <c r="G41" s="1235"/>
      <c r="H41" s="1236"/>
      <c r="I41" s="1237"/>
    </row>
    <row r="42" spans="2:14">
      <c r="B42" s="1229" t="s">
        <v>631</v>
      </c>
      <c r="C42" s="1228" t="s">
        <v>1001</v>
      </c>
      <c r="D42" s="1252">
        <f>'Свод долгосрочный '!H161</f>
        <v>57698.457388392868</v>
      </c>
      <c r="E42" s="1240">
        <f>E24+E3+E41</f>
        <v>54527.573499999999</v>
      </c>
      <c r="F42" s="1253"/>
      <c r="G42" s="1253">
        <f>SUM(G3:G41)</f>
        <v>206.6</v>
      </c>
      <c r="H42" s="1253"/>
      <c r="I42" s="1253"/>
    </row>
    <row r="43" spans="2:14">
      <c r="B43" s="1229" t="s">
        <v>632</v>
      </c>
      <c r="C43" s="1228" t="s">
        <v>1003</v>
      </c>
      <c r="D43" s="902">
        <f>D42</f>
        <v>57698.457388392868</v>
      </c>
      <c r="E43" s="1240">
        <f>'Сводная 2020'!BV6</f>
        <v>57048.2</v>
      </c>
      <c r="F43" s="1253"/>
      <c r="G43" s="1254">
        <v>288.7</v>
      </c>
      <c r="H43" s="1253"/>
      <c r="I43" s="1253"/>
    </row>
    <row r="44" spans="2:14">
      <c r="B44" s="197"/>
      <c r="C44" s="1228"/>
      <c r="D44" s="1229"/>
      <c r="E44" s="1229"/>
      <c r="F44" s="1228"/>
      <c r="G44" s="1255"/>
      <c r="I44" s="1255"/>
      <c r="J44" s="1255"/>
    </row>
    <row r="45" spans="2:14">
      <c r="B45" s="197"/>
      <c r="C45" s="1228" t="s">
        <v>1008</v>
      </c>
      <c r="D45" s="1229"/>
      <c r="E45" s="1229"/>
      <c r="F45" s="1228"/>
      <c r="G45" s="1255"/>
      <c r="I45" s="1255"/>
    </row>
    <row r="46" spans="2:14">
      <c r="B46" s="1229">
        <v>6</v>
      </c>
      <c r="C46" s="1228" t="s">
        <v>1007</v>
      </c>
      <c r="D46" s="1229"/>
      <c r="E46" s="1229"/>
      <c r="F46" s="1228"/>
      <c r="G46" s="1235"/>
      <c r="H46" s="1236"/>
      <c r="I46" s="1228"/>
    </row>
    <row r="47" spans="2:14">
      <c r="B47" s="1229">
        <v>7</v>
      </c>
      <c r="C47" s="1228" t="s">
        <v>1009</v>
      </c>
      <c r="D47" s="1256"/>
      <c r="E47" s="1229"/>
      <c r="F47" s="1228"/>
      <c r="G47" s="1257"/>
      <c r="H47" s="1236"/>
      <c r="I47" s="1236"/>
    </row>
    <row r="50" spans="5:9">
      <c r="F50" s="1234"/>
      <c r="G50" s="1234"/>
      <c r="H50" s="1234"/>
      <c r="I50" s="1234"/>
    </row>
    <row r="51" spans="5:9">
      <c r="E51" s="1234">
        <f>E37/E43</f>
        <v>2.992206590216694E-2</v>
      </c>
    </row>
  </sheetData>
  <mergeCells count="4">
    <mergeCell ref="H1:I1"/>
    <mergeCell ref="C1:C2"/>
    <mergeCell ref="B1:B2"/>
    <mergeCell ref="F1:G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F59"/>
  <sheetViews>
    <sheetView workbookViewId="0">
      <selection activeCell="CF49" sqref="CF49"/>
    </sheetView>
  </sheetViews>
  <sheetFormatPr defaultRowHeight="15"/>
  <cols>
    <col min="1" max="1" width="39" style="1547" customWidth="1"/>
    <col min="2" max="2" width="11.7109375" style="1547" hidden="1" customWidth="1"/>
    <col min="3" max="5" width="9.140625" style="1547" hidden="1" customWidth="1"/>
    <col min="6" max="6" width="11.7109375" style="1547" hidden="1" customWidth="1"/>
    <col min="7" max="9" width="9.140625" style="1547" hidden="1" customWidth="1"/>
    <col min="10" max="10" width="11.28515625" style="1547" hidden="1" customWidth="1"/>
    <col min="11" max="17" width="9.140625" style="1547" hidden="1" customWidth="1"/>
    <col min="18" max="18" width="11" style="1547" hidden="1" customWidth="1"/>
    <col min="19" max="73" width="9.140625" style="1547" hidden="1" customWidth="1"/>
    <col min="74" max="74" width="10.7109375" style="1548" customWidth="1"/>
    <col min="75" max="75" width="9.140625" style="1548" customWidth="1"/>
    <col min="76" max="76" width="9.28515625" style="1548" customWidth="1"/>
    <col min="77" max="77" width="8" style="1548" customWidth="1"/>
    <col min="78" max="78" width="11.42578125" style="1548" customWidth="1"/>
    <col min="79" max="79" width="3" style="1547" customWidth="1"/>
    <col min="80" max="80" width="6.7109375" style="1547" customWidth="1"/>
    <col min="81" max="83" width="4.28515625" style="1547" customWidth="1"/>
    <col min="84" max="16384" width="9.140625" style="1547"/>
  </cols>
  <sheetData>
    <row r="1" spans="1:80">
      <c r="A1" s="1546" t="s">
        <v>1081</v>
      </c>
    </row>
    <row r="2" spans="1:80">
      <c r="BA2" s="1549"/>
    </row>
    <row r="3" spans="1:80" ht="15" customHeight="1">
      <c r="A3" s="1957" t="s">
        <v>269</v>
      </c>
      <c r="B3" s="1954" t="s">
        <v>1020</v>
      </c>
      <c r="C3" s="1955"/>
      <c r="D3" s="1955"/>
      <c r="E3" s="1956"/>
      <c r="F3" s="1954" t="s">
        <v>1021</v>
      </c>
      <c r="G3" s="1955"/>
      <c r="H3" s="1955"/>
      <c r="I3" s="1956"/>
      <c r="J3" s="1954" t="s">
        <v>1022</v>
      </c>
      <c r="K3" s="1955"/>
      <c r="L3" s="1955"/>
      <c r="M3" s="1956"/>
      <c r="N3" s="1947" t="s">
        <v>1451</v>
      </c>
      <c r="O3" s="1948"/>
      <c r="P3" s="1948"/>
      <c r="Q3" s="1949"/>
      <c r="R3" s="1954" t="s">
        <v>1023</v>
      </c>
      <c r="S3" s="1955"/>
      <c r="T3" s="1955"/>
      <c r="U3" s="1956"/>
      <c r="V3" s="1954" t="s">
        <v>1024</v>
      </c>
      <c r="W3" s="1955"/>
      <c r="X3" s="1955"/>
      <c r="Y3" s="1956"/>
      <c r="Z3" s="1954" t="s">
        <v>1025</v>
      </c>
      <c r="AA3" s="1955"/>
      <c r="AB3" s="1955"/>
      <c r="AC3" s="1956"/>
      <c r="AD3" s="1947" t="s">
        <v>1452</v>
      </c>
      <c r="AE3" s="1948"/>
      <c r="AF3" s="1948"/>
      <c r="AG3" s="1949"/>
      <c r="AH3" s="1947" t="s">
        <v>1453</v>
      </c>
      <c r="AI3" s="1948"/>
      <c r="AJ3" s="1948"/>
      <c r="AK3" s="1949"/>
      <c r="AL3" s="1954" t="s">
        <v>1026</v>
      </c>
      <c r="AM3" s="1955"/>
      <c r="AN3" s="1955"/>
      <c r="AO3" s="1956"/>
      <c r="AP3" s="1954" t="s">
        <v>1027</v>
      </c>
      <c r="AQ3" s="1955"/>
      <c r="AR3" s="1955"/>
      <c r="AS3" s="1956"/>
      <c r="AT3" s="1954" t="s">
        <v>1028</v>
      </c>
      <c r="AU3" s="1955"/>
      <c r="AV3" s="1955"/>
      <c r="AW3" s="1956"/>
      <c r="AX3" s="1947" t="s">
        <v>1454</v>
      </c>
      <c r="AY3" s="1948"/>
      <c r="AZ3" s="1948"/>
      <c r="BA3" s="1949"/>
      <c r="BB3" s="1947" t="s">
        <v>1455</v>
      </c>
      <c r="BC3" s="1948"/>
      <c r="BD3" s="1948"/>
      <c r="BE3" s="1949"/>
      <c r="BF3" s="1954" t="s">
        <v>1029</v>
      </c>
      <c r="BG3" s="1955"/>
      <c r="BH3" s="1955"/>
      <c r="BI3" s="1956"/>
      <c r="BJ3" s="1954" t="s">
        <v>1030</v>
      </c>
      <c r="BK3" s="1955"/>
      <c r="BL3" s="1955"/>
      <c r="BM3" s="1956"/>
      <c r="BN3" s="1954" t="s">
        <v>1031</v>
      </c>
      <c r="BO3" s="1955"/>
      <c r="BP3" s="1955"/>
      <c r="BQ3" s="1956"/>
      <c r="BR3" s="1947" t="s">
        <v>1456</v>
      </c>
      <c r="BS3" s="1948"/>
      <c r="BT3" s="1948"/>
      <c r="BU3" s="1949"/>
      <c r="BV3" s="1950" t="s">
        <v>1457</v>
      </c>
      <c r="BW3" s="1951"/>
      <c r="BX3" s="1952"/>
      <c r="BY3" s="1952"/>
      <c r="BZ3" s="1953"/>
    </row>
    <row r="4" spans="1:80" s="1557" customFormat="1" ht="61.5" customHeight="1">
      <c r="A4" s="1958"/>
      <c r="B4" s="1550" t="s">
        <v>1458</v>
      </c>
      <c r="C4" s="1551" t="s">
        <v>1062</v>
      </c>
      <c r="D4" s="1550" t="s">
        <v>887</v>
      </c>
      <c r="E4" s="1551" t="s">
        <v>383</v>
      </c>
      <c r="F4" s="1550" t="s">
        <v>1458</v>
      </c>
      <c r="G4" s="1551" t="s">
        <v>1062</v>
      </c>
      <c r="H4" s="1550" t="s">
        <v>887</v>
      </c>
      <c r="I4" s="1551" t="s">
        <v>383</v>
      </c>
      <c r="J4" s="1550" t="s">
        <v>1458</v>
      </c>
      <c r="K4" s="1551" t="s">
        <v>1062</v>
      </c>
      <c r="L4" s="1550" t="s">
        <v>887</v>
      </c>
      <c r="M4" s="1551" t="s">
        <v>383</v>
      </c>
      <c r="N4" s="1552" t="s">
        <v>1458</v>
      </c>
      <c r="O4" s="1553" t="s">
        <v>1062</v>
      </c>
      <c r="P4" s="1552" t="s">
        <v>887</v>
      </c>
      <c r="Q4" s="1553" t="s">
        <v>383</v>
      </c>
      <c r="R4" s="1550" t="s">
        <v>1458</v>
      </c>
      <c r="S4" s="1551" t="s">
        <v>1062</v>
      </c>
      <c r="T4" s="1554" t="s">
        <v>887</v>
      </c>
      <c r="U4" s="1551" t="s">
        <v>383</v>
      </c>
      <c r="V4" s="1550" t="s">
        <v>1458</v>
      </c>
      <c r="W4" s="1551" t="s">
        <v>1062</v>
      </c>
      <c r="X4" s="1554" t="s">
        <v>887</v>
      </c>
      <c r="Y4" s="1551" t="s">
        <v>383</v>
      </c>
      <c r="Z4" s="1550" t="s">
        <v>1458</v>
      </c>
      <c r="AA4" s="1551" t="s">
        <v>1062</v>
      </c>
      <c r="AB4" s="1554" t="s">
        <v>887</v>
      </c>
      <c r="AC4" s="1551" t="s">
        <v>383</v>
      </c>
      <c r="AD4" s="1552" t="s">
        <v>1458</v>
      </c>
      <c r="AE4" s="1553" t="s">
        <v>1062</v>
      </c>
      <c r="AF4" s="1552" t="s">
        <v>887</v>
      </c>
      <c r="AG4" s="1553" t="s">
        <v>383</v>
      </c>
      <c r="AH4" s="1552" t="s">
        <v>1458</v>
      </c>
      <c r="AI4" s="1553" t="s">
        <v>1062</v>
      </c>
      <c r="AJ4" s="1552" t="s">
        <v>887</v>
      </c>
      <c r="AK4" s="1553" t="s">
        <v>383</v>
      </c>
      <c r="AL4" s="1550" t="s">
        <v>1458</v>
      </c>
      <c r="AM4" s="1551" t="s">
        <v>1062</v>
      </c>
      <c r="AN4" s="1554" t="s">
        <v>887</v>
      </c>
      <c r="AO4" s="1551" t="s">
        <v>383</v>
      </c>
      <c r="AP4" s="1550" t="s">
        <v>1458</v>
      </c>
      <c r="AQ4" s="1551" t="s">
        <v>1062</v>
      </c>
      <c r="AR4" s="1554" t="s">
        <v>887</v>
      </c>
      <c r="AS4" s="1551" t="s">
        <v>383</v>
      </c>
      <c r="AT4" s="1550" t="s">
        <v>1458</v>
      </c>
      <c r="AU4" s="1551" t="s">
        <v>1062</v>
      </c>
      <c r="AV4" s="1554" t="s">
        <v>887</v>
      </c>
      <c r="AW4" s="1551" t="s">
        <v>383</v>
      </c>
      <c r="AX4" s="1552" t="s">
        <v>1458</v>
      </c>
      <c r="AY4" s="1553" t="s">
        <v>1062</v>
      </c>
      <c r="AZ4" s="1552" t="s">
        <v>887</v>
      </c>
      <c r="BA4" s="1553" t="s">
        <v>383</v>
      </c>
      <c r="BB4" s="1552" t="s">
        <v>1458</v>
      </c>
      <c r="BC4" s="1553" t="s">
        <v>1062</v>
      </c>
      <c r="BD4" s="1552" t="s">
        <v>887</v>
      </c>
      <c r="BE4" s="1553" t="s">
        <v>383</v>
      </c>
      <c r="BF4" s="1550" t="s">
        <v>1458</v>
      </c>
      <c r="BG4" s="1551" t="s">
        <v>1062</v>
      </c>
      <c r="BH4" s="1554" t="s">
        <v>887</v>
      </c>
      <c r="BI4" s="1551" t="s">
        <v>383</v>
      </c>
      <c r="BJ4" s="1550" t="s">
        <v>1458</v>
      </c>
      <c r="BK4" s="1551" t="s">
        <v>1062</v>
      </c>
      <c r="BL4" s="1554" t="s">
        <v>887</v>
      </c>
      <c r="BM4" s="1551" t="s">
        <v>383</v>
      </c>
      <c r="BN4" s="1550" t="s">
        <v>1458</v>
      </c>
      <c r="BO4" s="1551" t="s">
        <v>1062</v>
      </c>
      <c r="BP4" s="1554" t="s">
        <v>887</v>
      </c>
      <c r="BQ4" s="1551" t="s">
        <v>383</v>
      </c>
      <c r="BR4" s="1552" t="s">
        <v>1458</v>
      </c>
      <c r="BS4" s="1553" t="s">
        <v>1062</v>
      </c>
      <c r="BT4" s="1552" t="s">
        <v>887</v>
      </c>
      <c r="BU4" s="1553" t="s">
        <v>383</v>
      </c>
      <c r="BV4" s="1555" t="s">
        <v>1458</v>
      </c>
      <c r="BW4" s="1555" t="s">
        <v>1459</v>
      </c>
      <c r="BX4" s="1556" t="s">
        <v>1062</v>
      </c>
      <c r="BY4" s="1555" t="s">
        <v>887</v>
      </c>
      <c r="BZ4" s="1556" t="s">
        <v>383</v>
      </c>
    </row>
    <row r="5" spans="1:80">
      <c r="A5" s="1558"/>
      <c r="N5" s="1559"/>
      <c r="O5" s="1559"/>
      <c r="P5" s="1559"/>
      <c r="Q5" s="1559"/>
      <c r="AD5" s="1560"/>
      <c r="AE5" s="1560"/>
      <c r="AF5" s="1560"/>
      <c r="AG5" s="1560"/>
      <c r="AH5" s="1560"/>
      <c r="AI5" s="1560"/>
      <c r="AJ5" s="1560"/>
      <c r="AK5" s="1560"/>
      <c r="AX5" s="1560"/>
      <c r="AY5" s="1560"/>
      <c r="AZ5" s="1560"/>
      <c r="BA5" s="1560"/>
      <c r="BB5" s="1560"/>
      <c r="BC5" s="1560"/>
      <c r="BD5" s="1560"/>
      <c r="BE5" s="1560"/>
      <c r="BR5" s="1560"/>
      <c r="BS5" s="1560"/>
      <c r="BT5" s="1560"/>
      <c r="BU5" s="1560"/>
      <c r="BV5" s="1561"/>
      <c r="BW5" s="1561"/>
      <c r="BX5" s="1561"/>
      <c r="BY5" s="1561"/>
      <c r="BZ5" s="1561"/>
    </row>
    <row r="6" spans="1:80">
      <c r="A6" s="1562" t="s">
        <v>1460</v>
      </c>
      <c r="B6" s="1563">
        <f>B7+B8+B9</f>
        <v>5152.7</v>
      </c>
      <c r="C6" s="1563">
        <f t="shared" ref="C6:D6" si="0">C7+C8+C9</f>
        <v>614.79999999999995</v>
      </c>
      <c r="D6" s="1563">
        <f t="shared" si="0"/>
        <v>84</v>
      </c>
      <c r="E6" s="1563">
        <f>B6+C6+D6</f>
        <v>5851.5</v>
      </c>
      <c r="F6" s="1563">
        <f>F7+F8+F9</f>
        <v>4841.5</v>
      </c>
      <c r="G6" s="1563">
        <f t="shared" ref="G6:H6" si="1">G7+G8+G9</f>
        <v>430.5</v>
      </c>
      <c r="H6" s="1563">
        <f t="shared" si="1"/>
        <v>0</v>
      </c>
      <c r="I6" s="1563">
        <f>F6+G6+H6</f>
        <v>5272</v>
      </c>
      <c r="J6" s="1563">
        <f>J7+J8+J9</f>
        <v>4710.5</v>
      </c>
      <c r="K6" s="1563">
        <f t="shared" ref="K6:L6" si="2">K7+K8+K9</f>
        <v>316.60000000000002</v>
      </c>
      <c r="L6" s="1563">
        <f t="shared" si="2"/>
        <v>0</v>
      </c>
      <c r="M6" s="1563">
        <f>J6+K6+L6</f>
        <v>5027.1000000000004</v>
      </c>
      <c r="N6" s="1564">
        <f>B6+F6+J6</f>
        <v>14704.7</v>
      </c>
      <c r="O6" s="1564">
        <f>C6+G6+K6</f>
        <v>1361.9</v>
      </c>
      <c r="P6" s="1564">
        <f>D6+H6+L6</f>
        <v>84</v>
      </c>
      <c r="Q6" s="1564">
        <f>N6+O6+P6</f>
        <v>16150.6</v>
      </c>
      <c r="R6" s="1563">
        <f>R7+R8</f>
        <v>4480.2</v>
      </c>
      <c r="S6" s="1563">
        <f>S7+S8</f>
        <v>443.3</v>
      </c>
      <c r="T6" s="1563">
        <f t="shared" ref="T6" si="3">T7+T8+T9</f>
        <v>0</v>
      </c>
      <c r="U6" s="1563">
        <f>R6+S6+T6</f>
        <v>4923.5</v>
      </c>
      <c r="V6" s="1563">
        <f>V7+V8</f>
        <v>4421.5</v>
      </c>
      <c r="W6" s="1563">
        <f>W7+W8</f>
        <v>384.4</v>
      </c>
      <c r="X6" s="1563">
        <f t="shared" ref="X6" si="4">X7+X8+X9</f>
        <v>1.3</v>
      </c>
      <c r="Y6" s="1563">
        <f t="shared" ref="Y6:Y9" si="5">V6+W6+X6</f>
        <v>4807.2</v>
      </c>
      <c r="Z6" s="1563">
        <f>Z7+Z8</f>
        <v>4591.1000000000004</v>
      </c>
      <c r="AA6" s="1563">
        <f>AA7+AA8</f>
        <v>768.09999999999991</v>
      </c>
      <c r="AB6" s="1563">
        <f t="shared" ref="AB6" si="6">AB7+AB8+AB9</f>
        <v>1.6</v>
      </c>
      <c r="AC6" s="1563">
        <f t="shared" ref="AC6:AC9" si="7">Z6+AA6+AB6</f>
        <v>5360.8000000000011</v>
      </c>
      <c r="AD6" s="1564">
        <f>R6+V6+Z6</f>
        <v>13492.800000000001</v>
      </c>
      <c r="AE6" s="1564">
        <f t="shared" ref="AE6:AF6" si="8">S6+W6+AA6</f>
        <v>1595.8</v>
      </c>
      <c r="AF6" s="1564">
        <f t="shared" si="8"/>
        <v>2.9000000000000004</v>
      </c>
      <c r="AG6" s="1564">
        <f>AD6+AE6+AF6</f>
        <v>15091.5</v>
      </c>
      <c r="AH6" s="1564">
        <f>SUM(AH7:AH9)</f>
        <v>28197.5</v>
      </c>
      <c r="AI6" s="1564">
        <f t="shared" ref="AI6:AK6" si="9">SUM(AI7:AI9)</f>
        <v>2957.7000000000003</v>
      </c>
      <c r="AJ6" s="1564">
        <f t="shared" si="9"/>
        <v>86.9</v>
      </c>
      <c r="AK6" s="1564">
        <f t="shared" si="9"/>
        <v>31242.100000000002</v>
      </c>
      <c r="AL6" s="1563">
        <f>AL7+AL8</f>
        <v>4678.3999999999996</v>
      </c>
      <c r="AM6" s="1563">
        <f>AM7+AM8</f>
        <v>627.5</v>
      </c>
      <c r="AN6" s="1563">
        <f>AN7+AN8+AN9</f>
        <v>0</v>
      </c>
      <c r="AO6" s="1563">
        <f>AL6+AM6+AN6</f>
        <v>5305.9</v>
      </c>
      <c r="AP6" s="1563">
        <f>AP7+AP8</f>
        <v>4716.3</v>
      </c>
      <c r="AQ6" s="1563">
        <f>AQ7+AQ8</f>
        <v>556.9</v>
      </c>
      <c r="AR6" s="1563">
        <f>AR7+AR8+AR9</f>
        <v>1.06</v>
      </c>
      <c r="AS6" s="1563">
        <f>AP6+AQ6+AR6</f>
        <v>5274.26</v>
      </c>
      <c r="AT6" s="1563">
        <f>AT7+AT8+AT9</f>
        <v>4819.7</v>
      </c>
      <c r="AU6" s="1563">
        <f>AU7+AU8+AU9</f>
        <v>936.4</v>
      </c>
      <c r="AV6" s="1563">
        <f>AV7+AV8+AV9</f>
        <v>1.4</v>
      </c>
      <c r="AW6" s="1563">
        <f>AT6+AU6+AV6</f>
        <v>5757.4999999999991</v>
      </c>
      <c r="AX6" s="1564">
        <f>AL6+AP6+AT6</f>
        <v>14214.400000000001</v>
      </c>
      <c r="AY6" s="1564">
        <f t="shared" ref="AY6:AZ6" si="10">AM6+AQ6+AU6</f>
        <v>2120.8000000000002</v>
      </c>
      <c r="AZ6" s="1564">
        <f t="shared" si="10"/>
        <v>2.46</v>
      </c>
      <c r="BA6" s="1564">
        <f>AX6+AY6+AZ6</f>
        <v>16337.66</v>
      </c>
      <c r="BB6" s="1564">
        <f>SUM(BB7:BB9)</f>
        <v>42411.9</v>
      </c>
      <c r="BC6" s="1564">
        <f t="shared" ref="BC6:BE6" si="11">SUM(BC7:BC9)</f>
        <v>5078.5</v>
      </c>
      <c r="BD6" s="1564">
        <f t="shared" si="11"/>
        <v>89.36</v>
      </c>
      <c r="BE6" s="1564">
        <f t="shared" si="11"/>
        <v>47579.76</v>
      </c>
      <c r="BF6" s="1563">
        <f>BF7+BF8</f>
        <v>4801</v>
      </c>
      <c r="BG6" s="1563">
        <f>BG7+BG8</f>
        <v>711.69</v>
      </c>
      <c r="BH6" s="1563">
        <f>BH7+BH8+BH9</f>
        <v>4.9000000000000004</v>
      </c>
      <c r="BI6" s="1563">
        <f>BF6+BG6+BH6</f>
        <v>5517.59</v>
      </c>
      <c r="BJ6" s="1563">
        <f>BJ7+BJ8</f>
        <v>4890.55</v>
      </c>
      <c r="BK6" s="1563">
        <f>BK7+BK8</f>
        <v>1261.1500000000001</v>
      </c>
      <c r="BL6" s="1563">
        <f>BL7+BL8+BL9</f>
        <v>2.0579999999999998</v>
      </c>
      <c r="BM6" s="1563">
        <f>BJ6+BK6+BL6</f>
        <v>6153.7580000000007</v>
      </c>
      <c r="BN6" s="1563">
        <f>BN7+BN8+BN9</f>
        <v>4944.75</v>
      </c>
      <c r="BO6" s="1563">
        <f>BO7+BO8+BO9</f>
        <v>316.64999999999998</v>
      </c>
      <c r="BP6" s="1563">
        <f>BP7+BP8+BP9</f>
        <v>84.25</v>
      </c>
      <c r="BQ6" s="1563">
        <f>BN6+BO6+BP6</f>
        <v>5345.65</v>
      </c>
      <c r="BR6" s="1564">
        <f>BF6+BJ6+BN6</f>
        <v>14636.3</v>
      </c>
      <c r="BS6" s="1564">
        <f t="shared" ref="BS6:BT6" si="12">BG6+BK6+BO6</f>
        <v>2289.4900000000002</v>
      </c>
      <c r="BT6" s="1564">
        <f t="shared" si="12"/>
        <v>91.207999999999998</v>
      </c>
      <c r="BU6" s="1564">
        <f>BR6+BS6+BT6</f>
        <v>17016.998</v>
      </c>
      <c r="BV6" s="1565">
        <f>SUM(BV7:BV9)</f>
        <v>57048.2</v>
      </c>
      <c r="BW6" s="1565">
        <f>BW7+BW8</f>
        <v>21.907</v>
      </c>
      <c r="BX6" s="1565">
        <f>SUM(BX7:BX9)</f>
        <v>7346.0830000000005</v>
      </c>
      <c r="BY6" s="1565">
        <f t="shared" ref="BY6" si="13">SUM(BY7:BY9)</f>
        <v>180.56799999999998</v>
      </c>
      <c r="BZ6" s="1565">
        <f>SUM(BZ7:BZ9)</f>
        <v>64596.757999999994</v>
      </c>
      <c r="CA6" s="1566">
        <f t="shared" ref="CA6:CA9" si="14">BV6+BW6+BX6+BY6</f>
        <v>64596.757999999994</v>
      </c>
      <c r="CB6" s="1547">
        <f t="shared" ref="CB6:CB7" si="15">CA6-BZ6</f>
        <v>0</v>
      </c>
    </row>
    <row r="7" spans="1:80" ht="18" customHeight="1">
      <c r="A7" s="1567" t="s">
        <v>1461</v>
      </c>
      <c r="B7" s="1568"/>
      <c r="C7" s="1568">
        <v>116</v>
      </c>
      <c r="D7" s="1568"/>
      <c r="E7" s="1568">
        <f>B7+C7+D7</f>
        <v>116</v>
      </c>
      <c r="F7" s="1568"/>
      <c r="G7" s="1568">
        <v>142.1</v>
      </c>
      <c r="H7" s="1568"/>
      <c r="I7" s="1568">
        <f>F7+G7+H7</f>
        <v>142.1</v>
      </c>
      <c r="J7" s="1568"/>
      <c r="K7" s="1568">
        <v>66.7</v>
      </c>
      <c r="L7" s="1568"/>
      <c r="M7" s="1568">
        <f>J7+K7+L7</f>
        <v>66.7</v>
      </c>
      <c r="N7" s="1564">
        <f t="shared" ref="N7:P9" si="16">B7+F7+J7</f>
        <v>0</v>
      </c>
      <c r="O7" s="1564">
        <f t="shared" si="16"/>
        <v>324.8</v>
      </c>
      <c r="P7" s="1564">
        <f t="shared" si="16"/>
        <v>0</v>
      </c>
      <c r="Q7" s="1564">
        <f t="shared" ref="Q7:Q9" si="17">N7+O7+P7</f>
        <v>324.8</v>
      </c>
      <c r="R7" s="1568"/>
      <c r="S7" s="1568">
        <v>284.8</v>
      </c>
      <c r="T7" s="1568"/>
      <c r="U7" s="1563">
        <f t="shared" ref="U7:U9" si="18">R7+S7+T7</f>
        <v>284.8</v>
      </c>
      <c r="V7" s="1568"/>
      <c r="W7" s="1568">
        <v>307.5</v>
      </c>
      <c r="X7" s="1568"/>
      <c r="Y7" s="1563">
        <f t="shared" si="5"/>
        <v>307.5</v>
      </c>
      <c r="Z7" s="1568">
        <v>1.8</v>
      </c>
      <c r="AA7" s="1568">
        <v>376.4</v>
      </c>
      <c r="AB7" s="1568"/>
      <c r="AC7" s="1563">
        <f t="shared" si="7"/>
        <v>378.2</v>
      </c>
      <c r="AD7" s="1564">
        <f>R7+V7+Z7</f>
        <v>1.8</v>
      </c>
      <c r="AE7" s="1564">
        <f>S7+W7+AA7</f>
        <v>968.69999999999993</v>
      </c>
      <c r="AF7" s="1564">
        <f>T7+X7+AB7</f>
        <v>0</v>
      </c>
      <c r="AG7" s="1564">
        <f t="shared" ref="AG7:AG42" si="19">AD7+AE7+AF7</f>
        <v>970.49999999999989</v>
      </c>
      <c r="AH7" s="1564">
        <f t="shared" ref="AH7:AJ9" si="20">N7+AD7</f>
        <v>1.8</v>
      </c>
      <c r="AI7" s="1564">
        <f t="shared" si="20"/>
        <v>1293.5</v>
      </c>
      <c r="AJ7" s="1564">
        <f t="shared" si="20"/>
        <v>0</v>
      </c>
      <c r="AK7" s="1564">
        <f t="shared" ref="AK7:AK42" si="21">AH7+AI7+AJ7</f>
        <v>1295.3</v>
      </c>
      <c r="AL7" s="1568">
        <v>5.9</v>
      </c>
      <c r="AM7" s="1568">
        <v>466.2</v>
      </c>
      <c r="AN7" s="1568"/>
      <c r="AO7" s="1568">
        <f>AL7+AM7</f>
        <v>472.09999999999997</v>
      </c>
      <c r="AP7" s="1568"/>
      <c r="AQ7" s="1568">
        <v>442.2</v>
      </c>
      <c r="AR7" s="1568"/>
      <c r="AS7" s="1568">
        <f>AP7+AQ7+AR7</f>
        <v>442.2</v>
      </c>
      <c r="AT7" s="1568">
        <v>44.7</v>
      </c>
      <c r="AU7" s="1568">
        <v>486.5</v>
      </c>
      <c r="AV7" s="1568"/>
      <c r="AW7" s="1568">
        <f>AT7+AU7+AV7</f>
        <v>531.20000000000005</v>
      </c>
      <c r="AX7" s="1564">
        <f>AL7+AP7+AT7</f>
        <v>50.6</v>
      </c>
      <c r="AY7" s="1564">
        <f>AM7+AQ7+AU7</f>
        <v>1394.9</v>
      </c>
      <c r="AZ7" s="1564">
        <f>AN7+AR7+AV7</f>
        <v>0</v>
      </c>
      <c r="BA7" s="1564">
        <f t="shared" ref="BA7:BA9" si="22">AX7+AY7+AZ7</f>
        <v>1445.5</v>
      </c>
      <c r="BB7" s="1564">
        <f>AH7+AX7</f>
        <v>52.4</v>
      </c>
      <c r="BC7" s="1564">
        <f t="shared" ref="BC7:BD9" si="23">AI7+AY7</f>
        <v>2688.4</v>
      </c>
      <c r="BD7" s="1564">
        <f t="shared" si="23"/>
        <v>0</v>
      </c>
      <c r="BE7" s="1564">
        <f t="shared" ref="BE7:BE9" si="24">BB7+BC7+BD7</f>
        <v>2740.8</v>
      </c>
      <c r="BF7" s="1568">
        <v>3.4</v>
      </c>
      <c r="BG7" s="1568">
        <v>265</v>
      </c>
      <c r="BH7" s="1568"/>
      <c r="BI7" s="1568">
        <f>BF7+BG7</f>
        <v>268.39999999999998</v>
      </c>
      <c r="BJ7" s="1568"/>
      <c r="BK7" s="1568">
        <v>310.16000000000003</v>
      </c>
      <c r="BL7" s="1568"/>
      <c r="BM7" s="1568">
        <f>BJ7+BK7+BL7</f>
        <v>310.16000000000003</v>
      </c>
      <c r="BN7" s="1568">
        <v>0.15</v>
      </c>
      <c r="BO7" s="1568">
        <v>114.05</v>
      </c>
      <c r="BP7" s="1568"/>
      <c r="BQ7" s="1568">
        <f>BN7+BO7+BP7</f>
        <v>114.2</v>
      </c>
      <c r="BR7" s="1564">
        <f>BF7+BJ7+BN7</f>
        <v>3.55</v>
      </c>
      <c r="BS7" s="1564">
        <f>BG7+BK7+BO7</f>
        <v>689.21</v>
      </c>
      <c r="BT7" s="1564">
        <f>BH7+BL7+BP7</f>
        <v>0</v>
      </c>
      <c r="BU7" s="1564">
        <f t="shared" ref="BU7:BU9" si="25">BR7+BS7+BT7</f>
        <v>692.76</v>
      </c>
      <c r="BV7" s="1565">
        <f>BB7+BR7</f>
        <v>55.949999999999996</v>
      </c>
      <c r="BW7" s="1565">
        <v>21.440999999999999</v>
      </c>
      <c r="BX7" s="1565">
        <f>BC7+BS7-BW7</f>
        <v>3356.1690000000003</v>
      </c>
      <c r="BY7" s="1565">
        <f t="shared" ref="BY7:BY9" si="26">BD7+BT7</f>
        <v>0</v>
      </c>
      <c r="BZ7" s="1565">
        <f>BV7+BX7+BY7+BW7</f>
        <v>3433.56</v>
      </c>
      <c r="CA7" s="1566">
        <f t="shared" si="14"/>
        <v>3433.5600000000004</v>
      </c>
      <c r="CB7" s="1547">
        <f t="shared" si="15"/>
        <v>0</v>
      </c>
    </row>
    <row r="8" spans="1:80">
      <c r="A8" s="1569" t="s">
        <v>1462</v>
      </c>
      <c r="B8" s="1568">
        <v>5152.7</v>
      </c>
      <c r="C8" s="1568">
        <v>498.8</v>
      </c>
      <c r="D8" s="1568"/>
      <c r="E8" s="1568">
        <f>B8+C8+D8</f>
        <v>5651.5</v>
      </c>
      <c r="F8" s="1568">
        <v>4841.5</v>
      </c>
      <c r="G8" s="1568">
        <v>288.39999999999998</v>
      </c>
      <c r="H8" s="1568"/>
      <c r="I8" s="1568">
        <f>F8+G8+H8</f>
        <v>5129.8999999999996</v>
      </c>
      <c r="J8" s="1568">
        <v>4710.5</v>
      </c>
      <c r="K8" s="1568">
        <v>249.9</v>
      </c>
      <c r="L8" s="1568"/>
      <c r="M8" s="1568">
        <f>J8+K8+L8</f>
        <v>4960.3999999999996</v>
      </c>
      <c r="N8" s="1564">
        <f t="shared" si="16"/>
        <v>14704.7</v>
      </c>
      <c r="O8" s="1564">
        <f t="shared" si="16"/>
        <v>1037.1000000000001</v>
      </c>
      <c r="P8" s="1564">
        <f t="shared" si="16"/>
        <v>0</v>
      </c>
      <c r="Q8" s="1564">
        <f t="shared" si="17"/>
        <v>15741.800000000001</v>
      </c>
      <c r="R8" s="1568">
        <v>4480.2</v>
      </c>
      <c r="S8" s="1568">
        <v>158.5</v>
      </c>
      <c r="T8" s="1568"/>
      <c r="U8" s="1563">
        <f t="shared" si="18"/>
        <v>4638.7</v>
      </c>
      <c r="V8" s="1568">
        <v>4421.5</v>
      </c>
      <c r="W8" s="1568">
        <v>76.900000000000006</v>
      </c>
      <c r="X8" s="1568"/>
      <c r="Y8" s="1563">
        <f t="shared" si="5"/>
        <v>4498.3999999999996</v>
      </c>
      <c r="Z8" s="1568">
        <v>4589.3</v>
      </c>
      <c r="AA8" s="1568">
        <v>391.7</v>
      </c>
      <c r="AB8" s="1568"/>
      <c r="AC8" s="1563">
        <f t="shared" si="7"/>
        <v>4981</v>
      </c>
      <c r="AD8" s="1564">
        <f>R8+V8+Z8</f>
        <v>13491</v>
      </c>
      <c r="AE8" s="1564">
        <f t="shared" ref="AE8:AF9" si="27">S8+W8+AA8</f>
        <v>627.1</v>
      </c>
      <c r="AF8" s="1564">
        <f t="shared" si="27"/>
        <v>0</v>
      </c>
      <c r="AG8" s="1564">
        <f t="shared" si="19"/>
        <v>14118.1</v>
      </c>
      <c r="AH8" s="1564">
        <f t="shared" si="20"/>
        <v>28195.7</v>
      </c>
      <c r="AI8" s="1564">
        <f t="shared" si="20"/>
        <v>1664.2000000000003</v>
      </c>
      <c r="AJ8" s="1564">
        <f t="shared" si="20"/>
        <v>0</v>
      </c>
      <c r="AK8" s="1564">
        <f t="shared" si="21"/>
        <v>29859.9</v>
      </c>
      <c r="AL8" s="1568">
        <v>4672.5</v>
      </c>
      <c r="AM8" s="1568">
        <v>161.30000000000001</v>
      </c>
      <c r="AN8" s="1568"/>
      <c r="AO8" s="1568">
        <f>AL8+AM8</f>
        <v>4833.8</v>
      </c>
      <c r="AP8" s="1568">
        <v>4716.3</v>
      </c>
      <c r="AQ8" s="1568">
        <v>114.7</v>
      </c>
      <c r="AR8" s="1568"/>
      <c r="AS8" s="1568">
        <f>AP8+AQ8+AR8</f>
        <v>4831</v>
      </c>
      <c r="AT8" s="1568">
        <v>4775</v>
      </c>
      <c r="AU8" s="1568">
        <v>449.9</v>
      </c>
      <c r="AV8" s="1568"/>
      <c r="AW8" s="1568">
        <f>AT8+AU8+AV8</f>
        <v>5224.8999999999996</v>
      </c>
      <c r="AX8" s="1564">
        <f>AL8+AP8+AT8</f>
        <v>14163.8</v>
      </c>
      <c r="AY8" s="1564">
        <f t="shared" ref="AY8:AZ9" si="28">AM8+AQ8+AU8</f>
        <v>725.9</v>
      </c>
      <c r="AZ8" s="1564">
        <f t="shared" si="28"/>
        <v>0</v>
      </c>
      <c r="BA8" s="1564">
        <f t="shared" si="22"/>
        <v>14889.699999999999</v>
      </c>
      <c r="BB8" s="1564">
        <f t="shared" ref="BB8:BB9" si="29">AH8+AX8</f>
        <v>42359.5</v>
      </c>
      <c r="BC8" s="1564">
        <f t="shared" si="23"/>
        <v>2390.1000000000004</v>
      </c>
      <c r="BD8" s="1564">
        <f t="shared" si="23"/>
        <v>0</v>
      </c>
      <c r="BE8" s="1564">
        <f t="shared" si="24"/>
        <v>44749.599999999999</v>
      </c>
      <c r="BF8" s="1568">
        <v>4797.6000000000004</v>
      </c>
      <c r="BG8" s="1568">
        <v>446.69</v>
      </c>
      <c r="BH8" s="1568"/>
      <c r="BI8" s="1568">
        <f>BF8+BG8</f>
        <v>5244.29</v>
      </c>
      <c r="BJ8" s="1568">
        <v>4890.55</v>
      </c>
      <c r="BK8" s="1568">
        <v>950.99</v>
      </c>
      <c r="BL8" s="1568"/>
      <c r="BM8" s="1568">
        <f>BJ8+BK8+BL8</f>
        <v>5841.54</v>
      </c>
      <c r="BN8" s="1568">
        <v>4944.6000000000004</v>
      </c>
      <c r="BO8" s="1568">
        <v>202.6</v>
      </c>
      <c r="BP8" s="1568"/>
      <c r="BQ8" s="1568">
        <f>BN8+BO8+BP8</f>
        <v>5147.2000000000007</v>
      </c>
      <c r="BR8" s="1564">
        <f>BF8+BJ8+BN8</f>
        <v>14632.750000000002</v>
      </c>
      <c r="BS8" s="1564">
        <f t="shared" ref="BS8:BT9" si="30">BG8+BK8+BO8</f>
        <v>1600.28</v>
      </c>
      <c r="BT8" s="1564">
        <f t="shared" si="30"/>
        <v>0</v>
      </c>
      <c r="BU8" s="1564">
        <f t="shared" si="25"/>
        <v>16233.030000000002</v>
      </c>
      <c r="BV8" s="1565">
        <f t="shared" ref="BV8:BV9" si="31">BB8+BR8</f>
        <v>56992.25</v>
      </c>
      <c r="BW8" s="1565">
        <v>0.46600000000000003</v>
      </c>
      <c r="BX8" s="1565">
        <f>BC8+BS8-BW8</f>
        <v>3989.9140000000002</v>
      </c>
      <c r="BY8" s="1565">
        <f t="shared" si="26"/>
        <v>0</v>
      </c>
      <c r="BZ8" s="1565">
        <f t="shared" ref="BZ8:BZ9" si="32">BV8+BX8+BY8+BW8</f>
        <v>60982.63</v>
      </c>
      <c r="CA8" s="1566">
        <f t="shared" si="14"/>
        <v>60982.63</v>
      </c>
      <c r="CB8" s="1547">
        <f>CA8-BZ8</f>
        <v>0</v>
      </c>
    </row>
    <row r="9" spans="1:80">
      <c r="A9" s="1570" t="s">
        <v>1062</v>
      </c>
      <c r="B9" s="1568"/>
      <c r="C9" s="1568"/>
      <c r="D9" s="1568">
        <v>84</v>
      </c>
      <c r="E9" s="1568">
        <f>B9+C9+D9</f>
        <v>84</v>
      </c>
      <c r="F9" s="1568"/>
      <c r="G9" s="1568"/>
      <c r="H9" s="1568"/>
      <c r="I9" s="1568">
        <f>F9+G9+H9</f>
        <v>0</v>
      </c>
      <c r="J9" s="1568"/>
      <c r="K9" s="1568"/>
      <c r="L9" s="1568"/>
      <c r="M9" s="1568">
        <f>J9+K9+L9</f>
        <v>0</v>
      </c>
      <c r="N9" s="1564">
        <f t="shared" si="16"/>
        <v>0</v>
      </c>
      <c r="O9" s="1564">
        <f t="shared" si="16"/>
        <v>0</v>
      </c>
      <c r="P9" s="1564">
        <f t="shared" si="16"/>
        <v>84</v>
      </c>
      <c r="Q9" s="1564">
        <f t="shared" si="17"/>
        <v>84</v>
      </c>
      <c r="R9" s="1568"/>
      <c r="S9" s="1568"/>
      <c r="T9" s="1568"/>
      <c r="U9" s="1563">
        <f t="shared" si="18"/>
        <v>0</v>
      </c>
      <c r="V9" s="1568"/>
      <c r="W9" s="1568"/>
      <c r="X9" s="1568">
        <v>1.3</v>
      </c>
      <c r="Y9" s="1563">
        <f t="shared" si="5"/>
        <v>1.3</v>
      </c>
      <c r="Z9" s="1568"/>
      <c r="AA9" s="1568"/>
      <c r="AB9" s="1568">
        <v>1.6</v>
      </c>
      <c r="AC9" s="1563">
        <f t="shared" si="7"/>
        <v>1.6</v>
      </c>
      <c r="AD9" s="1564">
        <f>R9+V9+Z9</f>
        <v>0</v>
      </c>
      <c r="AE9" s="1564">
        <f t="shared" si="27"/>
        <v>0</v>
      </c>
      <c r="AF9" s="1564">
        <f t="shared" si="27"/>
        <v>2.9000000000000004</v>
      </c>
      <c r="AG9" s="1564">
        <f t="shared" si="19"/>
        <v>2.9000000000000004</v>
      </c>
      <c r="AH9" s="1564">
        <f t="shared" si="20"/>
        <v>0</v>
      </c>
      <c r="AI9" s="1564">
        <f t="shared" si="20"/>
        <v>0</v>
      </c>
      <c r="AJ9" s="1564">
        <f t="shared" si="20"/>
        <v>86.9</v>
      </c>
      <c r="AK9" s="1564">
        <f t="shared" si="21"/>
        <v>86.9</v>
      </c>
      <c r="AL9" s="1568"/>
      <c r="AM9" s="1568"/>
      <c r="AN9" s="1568"/>
      <c r="AO9" s="1568">
        <f>AL9+AM9+AN9</f>
        <v>0</v>
      </c>
      <c r="AP9" s="1568"/>
      <c r="AQ9" s="1568"/>
      <c r="AR9" s="1568">
        <v>1.06</v>
      </c>
      <c r="AS9" s="1568">
        <f>AP9+AQ9+AR9</f>
        <v>1.06</v>
      </c>
      <c r="AT9" s="1568"/>
      <c r="AU9" s="1568"/>
      <c r="AV9" s="1568">
        <v>1.4</v>
      </c>
      <c r="AW9" s="1568">
        <f>AT9+AU9+AV9</f>
        <v>1.4</v>
      </c>
      <c r="AX9" s="1564">
        <f>AL9+AP9+AT9</f>
        <v>0</v>
      </c>
      <c r="AY9" s="1564">
        <f t="shared" si="28"/>
        <v>0</v>
      </c>
      <c r="AZ9" s="1564">
        <f t="shared" si="28"/>
        <v>2.46</v>
      </c>
      <c r="BA9" s="1564">
        <f t="shared" si="22"/>
        <v>2.46</v>
      </c>
      <c r="BB9" s="1564">
        <f t="shared" si="29"/>
        <v>0</v>
      </c>
      <c r="BC9" s="1564">
        <f t="shared" si="23"/>
        <v>0</v>
      </c>
      <c r="BD9" s="1564">
        <f t="shared" si="23"/>
        <v>89.36</v>
      </c>
      <c r="BE9" s="1564">
        <f t="shared" si="24"/>
        <v>89.36</v>
      </c>
      <c r="BF9" s="1568"/>
      <c r="BG9" s="1568"/>
      <c r="BH9" s="1568">
        <v>4.9000000000000004</v>
      </c>
      <c r="BI9" s="1568">
        <f>BF9+BG9+BH9</f>
        <v>4.9000000000000004</v>
      </c>
      <c r="BJ9" s="1568"/>
      <c r="BK9" s="1568"/>
      <c r="BL9" s="1568">
        <v>2.0579999999999998</v>
      </c>
      <c r="BM9" s="1568">
        <f>BJ9+BK9+BL9</f>
        <v>2.0579999999999998</v>
      </c>
      <c r="BN9" s="1568"/>
      <c r="BO9" s="1568"/>
      <c r="BP9" s="1568">
        <v>84.25</v>
      </c>
      <c r="BQ9" s="1568">
        <f>BN9+BO9+BP9</f>
        <v>84.25</v>
      </c>
      <c r="BR9" s="1564">
        <f>BF9+BJ9+BN9</f>
        <v>0</v>
      </c>
      <c r="BS9" s="1564">
        <f t="shared" si="30"/>
        <v>0</v>
      </c>
      <c r="BT9" s="1564">
        <f t="shared" si="30"/>
        <v>91.207999999999998</v>
      </c>
      <c r="BU9" s="1564">
        <f t="shared" si="25"/>
        <v>91.207999999999998</v>
      </c>
      <c r="BV9" s="1565">
        <f t="shared" si="31"/>
        <v>0</v>
      </c>
      <c r="BW9" s="1565"/>
      <c r="BX9" s="1565">
        <f t="shared" ref="BX9" si="33">BC9+BS9</f>
        <v>0</v>
      </c>
      <c r="BY9" s="1565">
        <f t="shared" si="26"/>
        <v>180.56799999999998</v>
      </c>
      <c r="BZ9" s="1565">
        <f t="shared" si="32"/>
        <v>180.56799999999998</v>
      </c>
      <c r="CA9" s="1566">
        <f t="shared" si="14"/>
        <v>180.56799999999998</v>
      </c>
      <c r="CB9" s="1547">
        <f t="shared" ref="CB9" si="34">CA9-BZ9</f>
        <v>0</v>
      </c>
    </row>
    <row r="10" spans="1:80">
      <c r="A10" s="1571" t="s">
        <v>1463</v>
      </c>
      <c r="B10" s="1568"/>
      <c r="C10" s="1568"/>
      <c r="D10" s="1568"/>
      <c r="E10" s="1568"/>
      <c r="F10" s="1568"/>
      <c r="G10" s="1568"/>
      <c r="H10" s="1568"/>
      <c r="I10" s="1568"/>
      <c r="J10" s="1568"/>
      <c r="K10" s="1568"/>
      <c r="L10" s="1568"/>
      <c r="M10" s="1568"/>
      <c r="N10" s="1572"/>
      <c r="O10" s="1572"/>
      <c r="P10" s="1572"/>
      <c r="Q10" s="1572"/>
      <c r="R10" s="1568"/>
      <c r="S10" s="1568"/>
      <c r="T10" s="1568"/>
      <c r="U10" s="1568"/>
      <c r="V10" s="1568"/>
      <c r="W10" s="1568"/>
      <c r="X10" s="1568"/>
      <c r="Y10" s="1568"/>
      <c r="Z10" s="1568"/>
      <c r="AA10" s="1568"/>
      <c r="AB10" s="1568"/>
      <c r="AC10" s="1568"/>
      <c r="AD10" s="1564"/>
      <c r="AE10" s="1564"/>
      <c r="AF10" s="1564"/>
      <c r="AG10" s="1564"/>
      <c r="AH10" s="1564"/>
      <c r="AI10" s="1564"/>
      <c r="AJ10" s="1564"/>
      <c r="AK10" s="1564"/>
      <c r="AL10" s="1568"/>
      <c r="AM10" s="1568"/>
      <c r="AN10" s="1568"/>
      <c r="AO10" s="1568"/>
      <c r="AP10" s="1568"/>
      <c r="AQ10" s="1568"/>
      <c r="AR10" s="1568"/>
      <c r="AS10" s="1568"/>
      <c r="AT10" s="1568"/>
      <c r="AU10" s="1568"/>
      <c r="AV10" s="1568"/>
      <c r="AW10" s="1568"/>
      <c r="AX10" s="1564"/>
      <c r="AY10" s="1564"/>
      <c r="AZ10" s="1564"/>
      <c r="BA10" s="1564"/>
      <c r="BB10" s="1564"/>
      <c r="BC10" s="1564"/>
      <c r="BD10" s="1564"/>
      <c r="BE10" s="1564"/>
      <c r="BF10" s="1568"/>
      <c r="BG10" s="1568"/>
      <c r="BH10" s="1568"/>
      <c r="BI10" s="1568"/>
      <c r="BJ10" s="1568"/>
      <c r="BK10" s="1568"/>
      <c r="BL10" s="1568"/>
      <c r="BM10" s="1568"/>
      <c r="BN10" s="1568"/>
      <c r="BO10" s="1568"/>
      <c r="BP10" s="1568"/>
      <c r="BQ10" s="1568"/>
      <c r="BR10" s="1564"/>
      <c r="BS10" s="1564"/>
      <c r="BT10" s="1564"/>
      <c r="BU10" s="1564"/>
      <c r="BV10" s="1565"/>
      <c r="BW10" s="1565"/>
      <c r="BX10" s="1565"/>
      <c r="BY10" s="1565"/>
      <c r="BZ10" s="1565"/>
    </row>
    <row r="11" spans="1:80">
      <c r="A11" s="1573" t="s">
        <v>1464</v>
      </c>
      <c r="B11" s="1568">
        <v>2384</v>
      </c>
      <c r="C11" s="1568"/>
      <c r="D11" s="1568"/>
      <c r="E11" s="1568">
        <f>B11+C11</f>
        <v>2384</v>
      </c>
      <c r="F11" s="1568">
        <v>1988.9</v>
      </c>
      <c r="G11" s="1568"/>
      <c r="H11" s="1568"/>
      <c r="I11" s="1568">
        <f>F11+G11</f>
        <v>1988.9</v>
      </c>
      <c r="J11" s="1568">
        <v>1871.6</v>
      </c>
      <c r="K11" s="1568"/>
      <c r="L11" s="1568"/>
      <c r="M11" s="1568">
        <f>J11+K11</f>
        <v>1871.6</v>
      </c>
      <c r="N11" s="1564">
        <f t="shared" ref="N11:P11" si="35">B11+F11+J11</f>
        <v>6244.5</v>
      </c>
      <c r="O11" s="1564">
        <f t="shared" si="35"/>
        <v>0</v>
      </c>
      <c r="P11" s="1564">
        <f t="shared" si="35"/>
        <v>0</v>
      </c>
      <c r="Q11" s="1564">
        <f t="shared" ref="Q11" si="36">N11+O11+P11</f>
        <v>6244.5</v>
      </c>
      <c r="R11" s="1568">
        <v>1597.3</v>
      </c>
      <c r="S11" s="1568"/>
      <c r="T11" s="1568"/>
      <c r="U11" s="1568">
        <f>R11+S11</f>
        <v>1597.3</v>
      </c>
      <c r="V11" s="1568">
        <v>1528.5</v>
      </c>
      <c r="W11" s="1568"/>
      <c r="X11" s="1568"/>
      <c r="Y11" s="1568">
        <f>V11+W11</f>
        <v>1528.5</v>
      </c>
      <c r="Z11" s="1568">
        <v>1695.2</v>
      </c>
      <c r="AA11" s="1568"/>
      <c r="AB11" s="1568"/>
      <c r="AC11" s="1568">
        <f>Z11+AA11</f>
        <v>1695.2</v>
      </c>
      <c r="AD11" s="1564">
        <f>R11+V11+Z11</f>
        <v>4821</v>
      </c>
      <c r="AE11" s="1564">
        <f t="shared" ref="AE11:AF11" si="37">S11+W11+AA11</f>
        <v>0</v>
      </c>
      <c r="AF11" s="1564">
        <f t="shared" si="37"/>
        <v>0</v>
      </c>
      <c r="AG11" s="1564">
        <f t="shared" si="19"/>
        <v>4821</v>
      </c>
      <c r="AH11" s="1564">
        <f t="shared" ref="AH11:AJ12" si="38">N11+AD11</f>
        <v>11065.5</v>
      </c>
      <c r="AI11" s="1564">
        <f t="shared" si="38"/>
        <v>0</v>
      </c>
      <c r="AJ11" s="1564">
        <f t="shared" si="38"/>
        <v>0</v>
      </c>
      <c r="AK11" s="1564">
        <f t="shared" si="21"/>
        <v>11065.5</v>
      </c>
      <c r="AL11" s="1568">
        <v>1701</v>
      </c>
      <c r="AM11" s="1568"/>
      <c r="AN11" s="1568"/>
      <c r="AO11" s="1568">
        <f>AL11+AM11</f>
        <v>1701</v>
      </c>
      <c r="AP11" s="1568">
        <v>1748.3</v>
      </c>
      <c r="AQ11" s="1568"/>
      <c r="AR11" s="1568"/>
      <c r="AS11" s="1568">
        <f>AP11+AQ11</f>
        <v>1748.3</v>
      </c>
      <c r="AT11" s="1568">
        <v>1774.6</v>
      </c>
      <c r="AU11" s="1568"/>
      <c r="AV11" s="1568"/>
      <c r="AW11" s="1568">
        <f>AT11+AU11</f>
        <v>1774.6</v>
      </c>
      <c r="AX11" s="1564">
        <f>AL11+AP11+AT11</f>
        <v>5223.8999999999996</v>
      </c>
      <c r="AY11" s="1564">
        <f t="shared" ref="AY11:AZ11" si="39">AM11+AQ11+AU11</f>
        <v>0</v>
      </c>
      <c r="AZ11" s="1564">
        <f t="shared" si="39"/>
        <v>0</v>
      </c>
      <c r="BA11" s="1564">
        <f t="shared" ref="BA11" si="40">AX11+AY11+AZ11</f>
        <v>5223.8999999999996</v>
      </c>
      <c r="BB11" s="1564">
        <f>AH11+AX11</f>
        <v>16289.4</v>
      </c>
      <c r="BC11" s="1564">
        <f t="shared" ref="BC11:BD11" si="41">AI11+AY11</f>
        <v>0</v>
      </c>
      <c r="BD11" s="1564">
        <f t="shared" si="41"/>
        <v>0</v>
      </c>
      <c r="BE11" s="1564">
        <f t="shared" ref="BE11" si="42">BB11+BC11+BD11</f>
        <v>16289.4</v>
      </c>
      <c r="BF11" s="1568">
        <v>1825.2</v>
      </c>
      <c r="BG11" s="1568"/>
      <c r="BH11" s="1568"/>
      <c r="BI11" s="1568">
        <f>BF11+BG11</f>
        <v>1825.2</v>
      </c>
      <c r="BJ11" s="1568">
        <v>1923</v>
      </c>
      <c r="BK11" s="1568"/>
      <c r="BL11" s="1568"/>
      <c r="BM11" s="1568">
        <f>BJ11+BK11</f>
        <v>1923</v>
      </c>
      <c r="BN11" s="1568">
        <v>1999</v>
      </c>
      <c r="BO11" s="1568"/>
      <c r="BP11" s="1568"/>
      <c r="BQ11" s="1568">
        <f>BN11+BO11</f>
        <v>1999</v>
      </c>
      <c r="BR11" s="1564">
        <f>BF11+BJ11+BN11</f>
        <v>5747.2</v>
      </c>
      <c r="BS11" s="1564">
        <f t="shared" ref="BS11:BT11" si="43">BG11+BK11+BO11</f>
        <v>0</v>
      </c>
      <c r="BT11" s="1564">
        <f t="shared" si="43"/>
        <v>0</v>
      </c>
      <c r="BU11" s="1564">
        <f t="shared" ref="BU11" si="44">BR11+BS11+BT11</f>
        <v>5747.2</v>
      </c>
      <c r="BV11" s="1565">
        <f>BB11+BR11</f>
        <v>22036.6</v>
      </c>
      <c r="BW11" s="1565"/>
      <c r="BX11" s="1565">
        <f t="shared" ref="BX11:BY11" si="45">BC11+BS11</f>
        <v>0</v>
      </c>
      <c r="BY11" s="1565">
        <f t="shared" si="45"/>
        <v>0</v>
      </c>
      <c r="BZ11" s="1565">
        <f>BV11+BX11+BY11</f>
        <v>22036.6</v>
      </c>
    </row>
    <row r="12" spans="1:80" ht="15.75">
      <c r="A12" s="1574" t="s">
        <v>1465</v>
      </c>
      <c r="B12" s="1563">
        <f>SUM(B15:B42)</f>
        <v>1201.7</v>
      </c>
      <c r="C12" s="1563">
        <f>SUM(C15:C42)</f>
        <v>611.70000000000016</v>
      </c>
      <c r="D12" s="1563">
        <f>SUM(D15:D42)</f>
        <v>0</v>
      </c>
      <c r="E12" s="1563">
        <f>B12+C12+D12</f>
        <v>1813.4</v>
      </c>
      <c r="F12" s="1563">
        <f>SUM(F15:F42)</f>
        <v>1102.5</v>
      </c>
      <c r="G12" s="1563">
        <f>SUM(G15:G42)</f>
        <v>543.20000000000005</v>
      </c>
      <c r="H12" s="1563">
        <f>SUM(H15:H42)</f>
        <v>0</v>
      </c>
      <c r="I12" s="1563">
        <f>F12+G12+H12</f>
        <v>1645.7</v>
      </c>
      <c r="J12" s="1563">
        <f>SUM(J15:J42)</f>
        <v>1524.1</v>
      </c>
      <c r="K12" s="1563">
        <f>SUM(K15:K42)</f>
        <v>645.1</v>
      </c>
      <c r="L12" s="1563">
        <f>SUM(L15:L42)</f>
        <v>0</v>
      </c>
      <c r="M12" s="1563">
        <f>J12+K12+L12</f>
        <v>2169.1999999999998</v>
      </c>
      <c r="N12" s="1564">
        <f>B12+F12+J12</f>
        <v>3828.2999999999997</v>
      </c>
      <c r="O12" s="1564">
        <f>C12+G12+K12</f>
        <v>1800</v>
      </c>
      <c r="P12" s="1564">
        <f>D12+H12+L12</f>
        <v>0</v>
      </c>
      <c r="Q12" s="1564">
        <f>N12+O12+P12</f>
        <v>5628.2999999999993</v>
      </c>
      <c r="R12" s="1563">
        <f>SUM(R15:R42)</f>
        <v>986.50000000000011</v>
      </c>
      <c r="S12" s="1563">
        <f>SUM(S15:S42)</f>
        <v>717.7600000000001</v>
      </c>
      <c r="T12" s="1563">
        <f>SUM(T15:T42)</f>
        <v>0</v>
      </c>
      <c r="U12" s="1563">
        <f>R12+S12+T12</f>
        <v>1704.2600000000002</v>
      </c>
      <c r="V12" s="1563">
        <f>SUM(V15:V42)</f>
        <v>1141.8000000000002</v>
      </c>
      <c r="W12" s="1563">
        <f>SUM(W15:W42)</f>
        <v>537</v>
      </c>
      <c r="X12" s="1563">
        <f>SUM(X15:X42)</f>
        <v>0</v>
      </c>
      <c r="Y12" s="1563">
        <f>V12+W12+X12</f>
        <v>1678.8000000000002</v>
      </c>
      <c r="Z12" s="1563">
        <f>SUM(Z15:Z42)</f>
        <v>1013.5</v>
      </c>
      <c r="AA12" s="1563">
        <f>SUM(AA15:AA42)</f>
        <v>678</v>
      </c>
      <c r="AB12" s="1563">
        <f>SUM(AB15:AB42)</f>
        <v>0</v>
      </c>
      <c r="AC12" s="1563">
        <f>Z12+AA12+AB12</f>
        <v>1691.5</v>
      </c>
      <c r="AD12" s="1564">
        <f>R12+V12+Z12</f>
        <v>3141.8</v>
      </c>
      <c r="AE12" s="1564">
        <f>S12+W12+AA12</f>
        <v>1932.7600000000002</v>
      </c>
      <c r="AF12" s="1564">
        <f>T12+X12+AB12</f>
        <v>0</v>
      </c>
      <c r="AG12" s="1564">
        <f>AD12+AE12+AF12</f>
        <v>5074.5600000000004</v>
      </c>
      <c r="AH12" s="1564">
        <f t="shared" si="38"/>
        <v>6970.1</v>
      </c>
      <c r="AI12" s="1564">
        <f t="shared" si="38"/>
        <v>3732.76</v>
      </c>
      <c r="AJ12" s="1564">
        <f t="shared" si="38"/>
        <v>0</v>
      </c>
      <c r="AK12" s="1564">
        <f>AH12+AI12+AJ12</f>
        <v>10702.86</v>
      </c>
      <c r="AL12" s="1563">
        <f>SUM(AL15:AL42)</f>
        <v>1117.3999999999999</v>
      </c>
      <c r="AM12" s="1563">
        <f>SUM(AM15:AM42)</f>
        <v>710.8</v>
      </c>
      <c r="AN12" s="1563">
        <f>SUM(AN15:AN42)</f>
        <v>0</v>
      </c>
      <c r="AO12" s="1563">
        <f>AL12+AM12+AN12</f>
        <v>1828.1999999999998</v>
      </c>
      <c r="AP12" s="1563">
        <f>SUM(AP15:AP42)</f>
        <v>1319.2299999999998</v>
      </c>
      <c r="AQ12" s="1563">
        <f>SUM(AQ15:AQ42)</f>
        <v>685.10000000000025</v>
      </c>
      <c r="AR12" s="1563">
        <f>SUM(AR15:AR42)</f>
        <v>0</v>
      </c>
      <c r="AS12" s="1563">
        <f>AP12+AQ12+AR12</f>
        <v>2004.33</v>
      </c>
      <c r="AT12" s="1563">
        <f>SUM(AT15:AT42)</f>
        <v>1051.4999999999998</v>
      </c>
      <c r="AU12" s="1563">
        <f>SUM(AU15:AU42)</f>
        <v>763.49999999999989</v>
      </c>
      <c r="AV12" s="1563">
        <f>SUM(AV15:AV42)</f>
        <v>0</v>
      </c>
      <c r="AW12" s="1563">
        <f>AT12+AU12+AV12</f>
        <v>1814.9999999999995</v>
      </c>
      <c r="AX12" s="1564">
        <f>AL12+AP12+AT12</f>
        <v>3488.1299999999992</v>
      </c>
      <c r="AY12" s="1564">
        <f>AM12+AQ12+AU12</f>
        <v>2159.4</v>
      </c>
      <c r="AZ12" s="1564">
        <f>AN12+AR12+AV12</f>
        <v>0</v>
      </c>
      <c r="BA12" s="1564">
        <f>AX12+AY12+AZ12</f>
        <v>5647.5299999999988</v>
      </c>
      <c r="BB12" s="1564">
        <f>AH12+AX12</f>
        <v>10458.23</v>
      </c>
      <c r="BC12" s="1564">
        <f>AI12+AY12</f>
        <v>5892.16</v>
      </c>
      <c r="BD12" s="1564">
        <f>AJ12+AZ12</f>
        <v>0</v>
      </c>
      <c r="BE12" s="1564">
        <f>BB12+BC12+BD12</f>
        <v>16350.39</v>
      </c>
      <c r="BF12" s="1563">
        <f>SUM(BF15:BF42)</f>
        <v>1281.0899999999999</v>
      </c>
      <c r="BG12" s="1563">
        <f>SUM(BG15:BG42)</f>
        <v>751.10000000000014</v>
      </c>
      <c r="BH12" s="1563">
        <f>SUM(BH15:BH42)</f>
        <v>0</v>
      </c>
      <c r="BI12" s="1563">
        <f>BF12+BG12+BH12</f>
        <v>2032.19</v>
      </c>
      <c r="BJ12" s="1563">
        <f>SUM(BJ15:BJ42)</f>
        <v>1800.66</v>
      </c>
      <c r="BK12" s="1563">
        <f>SUM(BK15:BK42)</f>
        <v>790.08999999999992</v>
      </c>
      <c r="BL12" s="1563">
        <f>SUM(BL15:BL42)</f>
        <v>0</v>
      </c>
      <c r="BM12" s="1563">
        <f>BJ12+BK12+BL12</f>
        <v>2590.75</v>
      </c>
      <c r="BN12" s="1563">
        <f>SUM(BN15:BN42)</f>
        <v>2050.1000000000004</v>
      </c>
      <c r="BO12" s="1563">
        <f>SUM(BO15:BO42)</f>
        <v>667.40000000000009</v>
      </c>
      <c r="BP12" s="1563">
        <f>SUM(BP15:BP42)</f>
        <v>0</v>
      </c>
      <c r="BQ12" s="1563">
        <f>BN12+BO12+BP12</f>
        <v>2717.5000000000005</v>
      </c>
      <c r="BR12" s="1564">
        <f>BF12+BJ12+BN12</f>
        <v>5131.8500000000004</v>
      </c>
      <c r="BS12" s="1564">
        <f>BG12+BK12+BO12</f>
        <v>2208.59</v>
      </c>
      <c r="BT12" s="1564">
        <f>BH12+BL12+BP12</f>
        <v>0</v>
      </c>
      <c r="BU12" s="1564">
        <f>BR12+BS12+BT12</f>
        <v>7340.4400000000005</v>
      </c>
      <c r="BV12" s="1575">
        <f>BV13+BV38+BV51</f>
        <v>54527.573499999999</v>
      </c>
      <c r="BW12" s="1575">
        <f>BW13+BW38+BW51</f>
        <v>43.291334405973991</v>
      </c>
      <c r="BX12" s="1575">
        <f t="shared" ref="BX12:BZ12" si="46">BX13+BX38+BX51</f>
        <v>6688.7988041601238</v>
      </c>
      <c r="BY12" s="1575">
        <f t="shared" si="46"/>
        <v>0</v>
      </c>
      <c r="BZ12" s="1575">
        <f t="shared" si="46"/>
        <v>70775.234138566098</v>
      </c>
      <c r="CA12" s="1566"/>
    </row>
    <row r="13" spans="1:80" ht="30.75" customHeight="1">
      <c r="A13" s="1576" t="s">
        <v>85</v>
      </c>
      <c r="BV13" s="1577">
        <f>SUM(BV14:BV37)</f>
        <v>18235.262999999995</v>
      </c>
      <c r="BW13" s="1565">
        <f>SUM(BW15:BW42)</f>
        <v>35.719649356450148</v>
      </c>
      <c r="BX13" s="1565">
        <f>SUM(BX15:BX42)</f>
        <v>5422.5293235728341</v>
      </c>
      <c r="BY13" s="1565">
        <f>SUM(BY15:BY42)</f>
        <v>0</v>
      </c>
      <c r="BZ13" s="1565">
        <f>SUM(BZ15:BZ42)</f>
        <v>33209.082472929294</v>
      </c>
    </row>
    <row r="14" spans="1:80">
      <c r="A14" s="1578" t="s">
        <v>1466</v>
      </c>
      <c r="B14" s="1568">
        <v>112.4</v>
      </c>
      <c r="C14" s="1568">
        <v>33.5</v>
      </c>
      <c r="D14" s="1568"/>
      <c r="E14" s="1568">
        <f>B14+C14</f>
        <v>145.9</v>
      </c>
      <c r="F14" s="1568">
        <v>47.3</v>
      </c>
      <c r="G14" s="1568">
        <v>110.8</v>
      </c>
      <c r="H14" s="1568"/>
      <c r="I14" s="1568">
        <f>F14+G14</f>
        <v>158.1</v>
      </c>
      <c r="J14" s="1568">
        <v>51</v>
      </c>
      <c r="K14" s="1568">
        <v>22.3</v>
      </c>
      <c r="L14" s="1568"/>
      <c r="M14" s="1568">
        <f>J14+K14</f>
        <v>73.3</v>
      </c>
      <c r="N14" s="1564">
        <f t="shared" ref="N14:P15" si="47">B14+F14+J14</f>
        <v>210.7</v>
      </c>
      <c r="O14" s="1564">
        <f t="shared" si="47"/>
        <v>166.60000000000002</v>
      </c>
      <c r="P14" s="1564">
        <f t="shared" si="47"/>
        <v>0</v>
      </c>
      <c r="Q14" s="1564">
        <f>N14+O14+P14</f>
        <v>377.3</v>
      </c>
      <c r="R14" s="1568">
        <v>94.1</v>
      </c>
      <c r="S14" s="1568">
        <v>9.27</v>
      </c>
      <c r="T14" s="1568"/>
      <c r="U14" s="1568">
        <f>R14+S14</f>
        <v>103.36999999999999</v>
      </c>
      <c r="V14" s="1568">
        <v>46</v>
      </c>
      <c r="W14" s="1568">
        <v>41.8</v>
      </c>
      <c r="X14" s="1568"/>
      <c r="Y14" s="1568">
        <f>V14+W14</f>
        <v>87.8</v>
      </c>
      <c r="Z14" s="1568">
        <v>63</v>
      </c>
      <c r="AA14" s="1568">
        <v>75.5</v>
      </c>
      <c r="AB14" s="1568"/>
      <c r="AC14" s="1568">
        <f>Z14+AA14</f>
        <v>138.5</v>
      </c>
      <c r="AD14" s="1564">
        <f t="shared" ref="AD14:AF15" si="48">R14+V14+Z14</f>
        <v>203.1</v>
      </c>
      <c r="AE14" s="1564">
        <f t="shared" si="48"/>
        <v>126.57</v>
      </c>
      <c r="AF14" s="1564">
        <f t="shared" si="48"/>
        <v>0</v>
      </c>
      <c r="AG14" s="1564">
        <f>AD14+AE14+AF14</f>
        <v>329.66999999999996</v>
      </c>
      <c r="AH14" s="1564">
        <f t="shared" ref="AH14:AJ15" si="49">N14+AD14</f>
        <v>413.79999999999995</v>
      </c>
      <c r="AI14" s="1564">
        <f t="shared" si="49"/>
        <v>293.17</v>
      </c>
      <c r="AJ14" s="1564">
        <f t="shared" si="49"/>
        <v>0</v>
      </c>
      <c r="AK14" s="1564">
        <f>AH14+AI14+AJ14</f>
        <v>706.97</v>
      </c>
      <c r="AL14" s="1579">
        <v>104.8</v>
      </c>
      <c r="AM14" s="1579">
        <v>92.2</v>
      </c>
      <c r="AN14" s="1579"/>
      <c r="AO14" s="1579">
        <f>AL14+AM14</f>
        <v>197</v>
      </c>
      <c r="AP14" s="1579">
        <v>85.9</v>
      </c>
      <c r="AQ14" s="1579">
        <v>86</v>
      </c>
      <c r="AR14" s="1579"/>
      <c r="AS14" s="1579">
        <f>AP14+AQ14</f>
        <v>171.9</v>
      </c>
      <c r="AT14" s="1579">
        <v>64.599999999999994</v>
      </c>
      <c r="AU14" s="1579">
        <v>87.4</v>
      </c>
      <c r="AV14" s="1579"/>
      <c r="AW14" s="1579">
        <f>AT14+AU14</f>
        <v>152</v>
      </c>
      <c r="AX14" s="1564">
        <f t="shared" ref="AX14:AZ15" si="50">AL14+AP14+AT14</f>
        <v>255.29999999999998</v>
      </c>
      <c r="AY14" s="1564">
        <f t="shared" si="50"/>
        <v>265.60000000000002</v>
      </c>
      <c r="AZ14" s="1564">
        <f t="shared" si="50"/>
        <v>0</v>
      </c>
      <c r="BA14" s="1564">
        <f>AX14+AY14+AZ14</f>
        <v>520.9</v>
      </c>
      <c r="BB14" s="1564">
        <f t="shared" ref="BB14:BD15" si="51">AH14+AX14</f>
        <v>669.09999999999991</v>
      </c>
      <c r="BC14" s="1564">
        <f t="shared" si="51"/>
        <v>558.77</v>
      </c>
      <c r="BD14" s="1564">
        <f t="shared" si="51"/>
        <v>0</v>
      </c>
      <c r="BE14" s="1564">
        <f>BB14+BC14+BD14</f>
        <v>1227.8699999999999</v>
      </c>
      <c r="BF14" s="1579">
        <v>76.7</v>
      </c>
      <c r="BG14" s="1579">
        <v>101</v>
      </c>
      <c r="BH14" s="1579"/>
      <c r="BI14" s="1568">
        <f>BF14+BG14</f>
        <v>177.7</v>
      </c>
      <c r="BJ14" s="1579">
        <v>63.2</v>
      </c>
      <c r="BK14" s="1579">
        <v>4</v>
      </c>
      <c r="BL14" s="1580"/>
      <c r="BM14" s="1568">
        <f>BJ14+BK14</f>
        <v>67.2</v>
      </c>
      <c r="BN14" s="1580">
        <v>57.5</v>
      </c>
      <c r="BO14" s="1580">
        <v>51.4</v>
      </c>
      <c r="BP14" s="1580"/>
      <c r="BQ14" s="1581">
        <f>BN14+BO14+BP14</f>
        <v>108.9</v>
      </c>
      <c r="BR14" s="1564">
        <f t="shared" ref="BR14:BT15" si="52">BF14+BJ14+BN14</f>
        <v>197.4</v>
      </c>
      <c r="BS14" s="1564">
        <f t="shared" si="52"/>
        <v>156.4</v>
      </c>
      <c r="BT14" s="1564">
        <f t="shared" si="52"/>
        <v>0</v>
      </c>
      <c r="BU14" s="1564">
        <f>BR14+BS14+BT14</f>
        <v>353.8</v>
      </c>
      <c r="BV14" s="1582">
        <f>BB14+BR14+400</f>
        <v>1266.5</v>
      </c>
      <c r="BW14" s="1565">
        <v>2.0674926737265102</v>
      </c>
      <c r="BX14" s="1565">
        <f>BC14+BS14-BW14-400</f>
        <v>313.10250732627344</v>
      </c>
      <c r="BY14" s="1565">
        <f>BD14+BT14</f>
        <v>0</v>
      </c>
      <c r="BZ14" s="1565">
        <f>BV14+BX14+BY14+BW14</f>
        <v>1581.67</v>
      </c>
      <c r="CA14" s="1566"/>
    </row>
    <row r="15" spans="1:80">
      <c r="A15" s="1569" t="s">
        <v>1467</v>
      </c>
      <c r="B15" s="1568">
        <v>57.3</v>
      </c>
      <c r="C15" s="1568">
        <v>2.1</v>
      </c>
      <c r="D15" s="1568"/>
      <c r="E15" s="1568">
        <f>B15+C15</f>
        <v>59.4</v>
      </c>
      <c r="F15" s="1568">
        <v>57.3</v>
      </c>
      <c r="G15" s="1568">
        <v>12.4</v>
      </c>
      <c r="H15" s="1568"/>
      <c r="I15" s="1568">
        <f>F15+G15</f>
        <v>69.7</v>
      </c>
      <c r="J15" s="1568">
        <v>59.1</v>
      </c>
      <c r="K15" s="1568">
        <v>6</v>
      </c>
      <c r="L15" s="1568"/>
      <c r="M15" s="1568">
        <f>J15+K15</f>
        <v>65.099999999999994</v>
      </c>
      <c r="N15" s="1564">
        <f t="shared" si="47"/>
        <v>173.7</v>
      </c>
      <c r="O15" s="1564">
        <f t="shared" si="47"/>
        <v>20.5</v>
      </c>
      <c r="P15" s="1564">
        <f t="shared" si="47"/>
        <v>0</v>
      </c>
      <c r="Q15" s="1564">
        <f>N15+O15+P15</f>
        <v>194.2</v>
      </c>
      <c r="R15" s="1568">
        <v>57.3</v>
      </c>
      <c r="S15" s="1568">
        <v>8.4</v>
      </c>
      <c r="T15" s="1568"/>
      <c r="U15" s="1568">
        <f>R15+S15</f>
        <v>65.7</v>
      </c>
      <c r="V15" s="1568">
        <v>57.3</v>
      </c>
      <c r="W15" s="1568"/>
      <c r="X15" s="1568"/>
      <c r="Y15" s="1568">
        <f>V15+W15</f>
        <v>57.3</v>
      </c>
      <c r="Z15" s="1568">
        <v>57.3</v>
      </c>
      <c r="AA15" s="1568"/>
      <c r="AB15" s="1568"/>
      <c r="AC15" s="1568">
        <f>Z15+AA15</f>
        <v>57.3</v>
      </c>
      <c r="AD15" s="1564">
        <f t="shared" si="48"/>
        <v>171.89999999999998</v>
      </c>
      <c r="AE15" s="1564">
        <f t="shared" si="48"/>
        <v>8.4</v>
      </c>
      <c r="AF15" s="1564">
        <f t="shared" si="48"/>
        <v>0</v>
      </c>
      <c r="AG15" s="1564">
        <f>AD15+AE15+AF15</f>
        <v>180.29999999999998</v>
      </c>
      <c r="AH15" s="1564">
        <f t="shared" si="49"/>
        <v>345.59999999999997</v>
      </c>
      <c r="AI15" s="1564">
        <f t="shared" si="49"/>
        <v>28.9</v>
      </c>
      <c r="AJ15" s="1564">
        <f t="shared" si="49"/>
        <v>0</v>
      </c>
      <c r="AK15" s="1564">
        <f>AH15+AI15+AJ15</f>
        <v>374.49999999999994</v>
      </c>
      <c r="AL15" s="1579">
        <v>60.3</v>
      </c>
      <c r="AM15" s="1579">
        <v>0.9</v>
      </c>
      <c r="AN15" s="1579"/>
      <c r="AO15" s="1579">
        <f>AL15+AM15</f>
        <v>61.199999999999996</v>
      </c>
      <c r="AP15" s="1579">
        <v>57.3</v>
      </c>
      <c r="AQ15" s="1579">
        <v>1</v>
      </c>
      <c r="AR15" s="1579"/>
      <c r="AS15" s="1579">
        <f>AP15+AQ15</f>
        <v>58.3</v>
      </c>
      <c r="AT15" s="1579">
        <v>57.3</v>
      </c>
      <c r="AU15" s="1579"/>
      <c r="AV15" s="1579"/>
      <c r="AW15" s="1579">
        <f>AT15+AU15</f>
        <v>57.3</v>
      </c>
      <c r="AX15" s="1564">
        <f t="shared" si="50"/>
        <v>174.89999999999998</v>
      </c>
      <c r="AY15" s="1564">
        <f t="shared" si="50"/>
        <v>1.9</v>
      </c>
      <c r="AZ15" s="1564">
        <f t="shared" si="50"/>
        <v>0</v>
      </c>
      <c r="BA15" s="1564">
        <f>AX15+AY15+AZ15</f>
        <v>176.79999999999998</v>
      </c>
      <c r="BB15" s="1564">
        <f t="shared" si="51"/>
        <v>520.5</v>
      </c>
      <c r="BC15" s="1564">
        <f t="shared" si="51"/>
        <v>30.799999999999997</v>
      </c>
      <c r="BD15" s="1564">
        <f t="shared" si="51"/>
        <v>0</v>
      </c>
      <c r="BE15" s="1583">
        <f>BB15+BC15+BD15</f>
        <v>551.29999999999995</v>
      </c>
      <c r="BF15" s="1579">
        <v>58.4</v>
      </c>
      <c r="BG15" s="1579"/>
      <c r="BH15" s="1579"/>
      <c r="BI15" s="1568">
        <f>BF15+BG15</f>
        <v>58.4</v>
      </c>
      <c r="BJ15" s="1579">
        <v>58.8</v>
      </c>
      <c r="BK15" s="1579">
        <v>0.3</v>
      </c>
      <c r="BL15" s="1580"/>
      <c r="BM15" s="1568">
        <f>BJ15+BK15</f>
        <v>59.099999999999994</v>
      </c>
      <c r="BN15" s="1580">
        <v>58</v>
      </c>
      <c r="BO15" s="1580"/>
      <c r="BP15" s="1580"/>
      <c r="BQ15" s="1581">
        <f>BN15+BO15+BP15</f>
        <v>58</v>
      </c>
      <c r="BR15" s="1564">
        <f t="shared" si="52"/>
        <v>175.2</v>
      </c>
      <c r="BS15" s="1564">
        <f t="shared" si="52"/>
        <v>0.3</v>
      </c>
      <c r="BT15" s="1564">
        <f t="shared" si="52"/>
        <v>0</v>
      </c>
      <c r="BU15" s="1564">
        <f>BR15+BS15+BT15</f>
        <v>175.5</v>
      </c>
      <c r="BV15" s="1582">
        <f>BB15+BR15</f>
        <v>695.7</v>
      </c>
      <c r="BW15" s="1565"/>
      <c r="BX15" s="1565">
        <f>BC15+BS15-BW15</f>
        <v>31.099999999999998</v>
      </c>
      <c r="BY15" s="1565">
        <f>BD15+BT15</f>
        <v>0</v>
      </c>
      <c r="BZ15" s="1565">
        <f>BV15+BX15+BY15+BW15</f>
        <v>726.80000000000007</v>
      </c>
      <c r="CA15" s="1566"/>
    </row>
    <row r="17" spans="1:79">
      <c r="A17" s="1578" t="s">
        <v>1468</v>
      </c>
      <c r="B17" s="1568">
        <v>25</v>
      </c>
      <c r="C17" s="1568">
        <v>65</v>
      </c>
      <c r="D17" s="1568"/>
      <c r="E17" s="1568">
        <f>B17+C17</f>
        <v>90</v>
      </c>
      <c r="F17" s="1568">
        <v>40.5</v>
      </c>
      <c r="G17" s="1568">
        <v>68.5</v>
      </c>
      <c r="H17" s="1568"/>
      <c r="I17" s="1568">
        <f>F17+G17</f>
        <v>109</v>
      </c>
      <c r="J17" s="1568">
        <v>23</v>
      </c>
      <c r="K17" s="1568">
        <v>19.100000000000001</v>
      </c>
      <c r="L17" s="1568"/>
      <c r="M17" s="1568">
        <f>J17+K17</f>
        <v>42.1</v>
      </c>
      <c r="N17" s="1564">
        <f t="shared" ref="N17:P21" si="53">B17+F17+J17</f>
        <v>88.5</v>
      </c>
      <c r="O17" s="1564">
        <f t="shared" si="53"/>
        <v>152.6</v>
      </c>
      <c r="P17" s="1564">
        <f t="shared" si="53"/>
        <v>0</v>
      </c>
      <c r="Q17" s="1564">
        <f>N17+O17+P17</f>
        <v>241.1</v>
      </c>
      <c r="R17" s="1568">
        <v>16.2</v>
      </c>
      <c r="S17" s="1568">
        <v>131.86000000000001</v>
      </c>
      <c r="T17" s="1568"/>
      <c r="U17" s="1568">
        <f>R17+S17</f>
        <v>148.06</v>
      </c>
      <c r="V17" s="1568">
        <v>7.6</v>
      </c>
      <c r="W17" s="1568">
        <v>59.4</v>
      </c>
      <c r="X17" s="1568"/>
      <c r="Y17" s="1568">
        <f>V17+W17</f>
        <v>67</v>
      </c>
      <c r="Z17" s="1568">
        <v>13</v>
      </c>
      <c r="AA17" s="1568">
        <v>123</v>
      </c>
      <c r="AB17" s="1568"/>
      <c r="AC17" s="1568">
        <f>Z17+AA17</f>
        <v>136</v>
      </c>
      <c r="AD17" s="1564">
        <f t="shared" ref="AD17:AF21" si="54">R17+V17+Z17</f>
        <v>36.799999999999997</v>
      </c>
      <c r="AE17" s="1564">
        <f t="shared" si="54"/>
        <v>314.26</v>
      </c>
      <c r="AF17" s="1564">
        <f t="shared" si="54"/>
        <v>0</v>
      </c>
      <c r="AG17" s="1564">
        <f>AD17+AE17+AF17</f>
        <v>351.06</v>
      </c>
      <c r="AH17" s="1564">
        <f t="shared" ref="AH17:AJ21" si="55">N17+AD17</f>
        <v>125.3</v>
      </c>
      <c r="AI17" s="1564">
        <f t="shared" si="55"/>
        <v>466.86</v>
      </c>
      <c r="AJ17" s="1564">
        <f t="shared" si="55"/>
        <v>0</v>
      </c>
      <c r="AK17" s="1564">
        <f>AH17+AI17+AJ17</f>
        <v>592.16</v>
      </c>
      <c r="AL17" s="1579">
        <v>49.5</v>
      </c>
      <c r="AM17" s="1579">
        <v>69.8</v>
      </c>
      <c r="AN17" s="1579"/>
      <c r="AO17" s="1579">
        <f>AL17+AM17</f>
        <v>119.3</v>
      </c>
      <c r="AP17" s="1579">
        <v>24.43</v>
      </c>
      <c r="AQ17" s="1579">
        <v>72.2</v>
      </c>
      <c r="AR17" s="1579"/>
      <c r="AS17" s="1579">
        <f>AP17+AQ17</f>
        <v>96.63</v>
      </c>
      <c r="AT17" s="1579">
        <v>44.7</v>
      </c>
      <c r="AU17" s="1579">
        <v>262</v>
      </c>
      <c r="AV17" s="1579"/>
      <c r="AW17" s="1579">
        <f>AT17+AU17</f>
        <v>306.7</v>
      </c>
      <c r="AX17" s="1564">
        <f t="shared" ref="AX17:AZ21" si="56">AL17+AP17+AT17</f>
        <v>118.63000000000001</v>
      </c>
      <c r="AY17" s="1564">
        <f t="shared" si="56"/>
        <v>404</v>
      </c>
      <c r="AZ17" s="1564">
        <f t="shared" si="56"/>
        <v>0</v>
      </c>
      <c r="BA17" s="1564">
        <f>AX17+AY17+AZ17</f>
        <v>522.63</v>
      </c>
      <c r="BB17" s="1564">
        <f t="shared" ref="BB17:BD21" si="57">AH17+AX17</f>
        <v>243.93</v>
      </c>
      <c r="BC17" s="1564">
        <f t="shared" si="57"/>
        <v>870.86</v>
      </c>
      <c r="BD17" s="1564">
        <f t="shared" si="57"/>
        <v>0</v>
      </c>
      <c r="BE17" s="1564">
        <f>BB17+BC17+BD17</f>
        <v>1114.79</v>
      </c>
      <c r="BF17" s="1579">
        <v>67.19</v>
      </c>
      <c r="BG17" s="1579">
        <v>184.2</v>
      </c>
      <c r="BH17" s="1579"/>
      <c r="BI17" s="1568">
        <f>BF17+BG17</f>
        <v>251.39</v>
      </c>
      <c r="BJ17" s="1579">
        <v>46.6</v>
      </c>
      <c r="BK17" s="1579">
        <v>467</v>
      </c>
      <c r="BL17" s="1580"/>
      <c r="BM17" s="1568">
        <f>BJ17+BK17</f>
        <v>513.6</v>
      </c>
      <c r="BN17" s="1580">
        <v>198.5</v>
      </c>
      <c r="BO17" s="1580">
        <v>65.3</v>
      </c>
      <c r="BP17" s="1580"/>
      <c r="BQ17" s="1581">
        <f>BN17+BO17+BP17</f>
        <v>263.8</v>
      </c>
      <c r="BR17" s="1564">
        <f t="shared" ref="BR17:BT21" si="58">BF17+BJ17+BN17</f>
        <v>312.28999999999996</v>
      </c>
      <c r="BS17" s="1564">
        <f t="shared" si="58"/>
        <v>716.5</v>
      </c>
      <c r="BT17" s="1564">
        <f t="shared" si="58"/>
        <v>0</v>
      </c>
      <c r="BU17" s="1564">
        <f>BR17+BS17+BT17</f>
        <v>1028.79</v>
      </c>
      <c r="BV17" s="1598">
        <f>BB17+BR17+1100</f>
        <v>1656.22</v>
      </c>
      <c r="BW17" s="1565"/>
      <c r="BX17" s="1565">
        <f>BC17+BS17-BW17-1100</f>
        <v>487.36000000000013</v>
      </c>
      <c r="BY17" s="1565">
        <f>BD17+BT17</f>
        <v>0</v>
      </c>
      <c r="BZ17" s="1565">
        <f>BV17+BX17+BY17+BW17</f>
        <v>2143.58</v>
      </c>
      <c r="CA17" s="1566"/>
    </row>
    <row r="18" spans="1:79">
      <c r="A18" s="1578" t="s">
        <v>1469</v>
      </c>
      <c r="B18" s="1568">
        <v>97.4</v>
      </c>
      <c r="C18" s="1568"/>
      <c r="D18" s="1568"/>
      <c r="E18" s="1568">
        <f>B18+C18</f>
        <v>97.4</v>
      </c>
      <c r="F18" s="1568"/>
      <c r="G18" s="1568"/>
      <c r="H18" s="1568"/>
      <c r="I18" s="1568">
        <f>F18+G18</f>
        <v>0</v>
      </c>
      <c r="J18" s="1568"/>
      <c r="K18" s="1568"/>
      <c r="L18" s="1568"/>
      <c r="M18" s="1568">
        <f>J18+K18</f>
        <v>0</v>
      </c>
      <c r="N18" s="1564">
        <f t="shared" si="53"/>
        <v>97.4</v>
      </c>
      <c r="O18" s="1564">
        <f t="shared" si="53"/>
        <v>0</v>
      </c>
      <c r="P18" s="1564">
        <f t="shared" si="53"/>
        <v>0</v>
      </c>
      <c r="Q18" s="1564">
        <f>N18+O18+P18</f>
        <v>97.4</v>
      </c>
      <c r="R18" s="1568">
        <v>67</v>
      </c>
      <c r="S18" s="1568">
        <v>79.2</v>
      </c>
      <c r="T18" s="1568"/>
      <c r="U18" s="1568">
        <f>R18+S18</f>
        <v>146.19999999999999</v>
      </c>
      <c r="V18" s="1568"/>
      <c r="W18" s="1568">
        <v>67.8</v>
      </c>
      <c r="X18" s="1568"/>
      <c r="Y18" s="1568">
        <f>V18+W18</f>
        <v>67.8</v>
      </c>
      <c r="Z18" s="1568">
        <v>6.9</v>
      </c>
      <c r="AA18" s="1568">
        <v>38</v>
      </c>
      <c r="AB18" s="1568"/>
      <c r="AC18" s="1568">
        <f>Z18+AA18</f>
        <v>44.9</v>
      </c>
      <c r="AD18" s="1564">
        <f t="shared" si="54"/>
        <v>73.900000000000006</v>
      </c>
      <c r="AE18" s="1564">
        <f t="shared" si="54"/>
        <v>185</v>
      </c>
      <c r="AF18" s="1564">
        <f t="shared" si="54"/>
        <v>0</v>
      </c>
      <c r="AG18" s="1564">
        <f>AD18+AE18+AF18</f>
        <v>258.89999999999998</v>
      </c>
      <c r="AH18" s="1564">
        <f t="shared" si="55"/>
        <v>171.3</v>
      </c>
      <c r="AI18" s="1564">
        <f t="shared" si="55"/>
        <v>185</v>
      </c>
      <c r="AJ18" s="1564">
        <f t="shared" si="55"/>
        <v>0</v>
      </c>
      <c r="AK18" s="1564">
        <f>AH18+AI18+AJ18</f>
        <v>356.3</v>
      </c>
      <c r="AL18" s="1579"/>
      <c r="AM18" s="1579">
        <v>92</v>
      </c>
      <c r="AN18" s="1579"/>
      <c r="AO18" s="1579">
        <f>AL18+AM18</f>
        <v>92</v>
      </c>
      <c r="AP18" s="1579"/>
      <c r="AQ18" s="1579">
        <v>105.4</v>
      </c>
      <c r="AR18" s="1579"/>
      <c r="AS18" s="1579">
        <f>AP18+AQ18</f>
        <v>105.4</v>
      </c>
      <c r="AT18" s="1579">
        <v>1.8</v>
      </c>
      <c r="AU18" s="1579">
        <v>42</v>
      </c>
      <c r="AV18" s="1579"/>
      <c r="AW18" s="1579">
        <f>AT18+AU18</f>
        <v>43.8</v>
      </c>
      <c r="AX18" s="1564">
        <f t="shared" si="56"/>
        <v>1.8</v>
      </c>
      <c r="AY18" s="1564">
        <f t="shared" si="56"/>
        <v>239.4</v>
      </c>
      <c r="AZ18" s="1564">
        <f t="shared" si="56"/>
        <v>0</v>
      </c>
      <c r="BA18" s="1564">
        <f>AX18+AY18+AZ18</f>
        <v>241.20000000000002</v>
      </c>
      <c r="BB18" s="1564">
        <f t="shared" si="57"/>
        <v>173.10000000000002</v>
      </c>
      <c r="BC18" s="1564">
        <f t="shared" si="57"/>
        <v>424.4</v>
      </c>
      <c r="BD18" s="1564">
        <f t="shared" si="57"/>
        <v>0</v>
      </c>
      <c r="BE18" s="1564">
        <f>BB18+BC18+BD18</f>
        <v>597.5</v>
      </c>
      <c r="BF18" s="1579">
        <v>76.900000000000006</v>
      </c>
      <c r="BG18" s="1579">
        <v>83.8</v>
      </c>
      <c r="BH18" s="1579"/>
      <c r="BI18" s="1568">
        <f>BF18+BG18</f>
        <v>160.69999999999999</v>
      </c>
      <c r="BJ18" s="1579">
        <v>1.6</v>
      </c>
      <c r="BK18" s="1579">
        <v>1.4</v>
      </c>
      <c r="BL18" s="1580"/>
      <c r="BM18" s="1568">
        <f>BJ18+BK18</f>
        <v>3</v>
      </c>
      <c r="BN18" s="1580">
        <v>94.5</v>
      </c>
      <c r="BO18" s="1580">
        <v>78.900000000000006</v>
      </c>
      <c r="BP18" s="1580"/>
      <c r="BQ18" s="1581">
        <f>BN18+BO18+BP18</f>
        <v>173.4</v>
      </c>
      <c r="BR18" s="1564">
        <f t="shared" si="58"/>
        <v>173</v>
      </c>
      <c r="BS18" s="1564">
        <f t="shared" si="58"/>
        <v>164.10000000000002</v>
      </c>
      <c r="BT18" s="1564">
        <f t="shared" si="58"/>
        <v>0</v>
      </c>
      <c r="BU18" s="1564">
        <f>BR18+BS18+BT18</f>
        <v>337.1</v>
      </c>
      <c r="BV18" s="1598">
        <f>BB18+BR18+450</f>
        <v>796.1</v>
      </c>
      <c r="BW18" s="1565">
        <v>0.82580405583005811</v>
      </c>
      <c r="BX18" s="1565">
        <f>BC18+BS18-BW18-450</f>
        <v>137.67419594416992</v>
      </c>
      <c r="BY18" s="1565">
        <f>BD18+BT18</f>
        <v>0</v>
      </c>
      <c r="BZ18" s="1565">
        <f>BV18+BX18+BY18+BW18</f>
        <v>934.6</v>
      </c>
      <c r="CA18" s="1566"/>
    </row>
    <row r="19" spans="1:79">
      <c r="A19" s="1578" t="s">
        <v>1470</v>
      </c>
      <c r="B19" s="1568"/>
      <c r="C19" s="1568">
        <v>72.900000000000006</v>
      </c>
      <c r="D19" s="1568"/>
      <c r="E19" s="1568">
        <f>B19+C19</f>
        <v>72.900000000000006</v>
      </c>
      <c r="F19" s="1568"/>
      <c r="G19" s="1568"/>
      <c r="H19" s="1568"/>
      <c r="I19" s="1568">
        <f>F19+G19</f>
        <v>0</v>
      </c>
      <c r="J19" s="1568"/>
      <c r="K19" s="1568"/>
      <c r="L19" s="1568"/>
      <c r="M19" s="1568">
        <f>J19+K19</f>
        <v>0</v>
      </c>
      <c r="N19" s="1564">
        <f t="shared" si="53"/>
        <v>0</v>
      </c>
      <c r="O19" s="1564">
        <f t="shared" si="53"/>
        <v>72.900000000000006</v>
      </c>
      <c r="P19" s="1564">
        <f t="shared" si="53"/>
        <v>0</v>
      </c>
      <c r="Q19" s="1564">
        <f>N19+O19+P19</f>
        <v>72.900000000000006</v>
      </c>
      <c r="R19" s="1568"/>
      <c r="S19" s="1568"/>
      <c r="T19" s="1568"/>
      <c r="U19" s="1568">
        <f>R19+S19</f>
        <v>0</v>
      </c>
      <c r="V19" s="1568">
        <v>9.9</v>
      </c>
      <c r="W19" s="1568">
        <v>4.4000000000000004</v>
      </c>
      <c r="X19" s="1568"/>
      <c r="Y19" s="1568">
        <f>V19+W19</f>
        <v>14.3</v>
      </c>
      <c r="Z19" s="1568"/>
      <c r="AA19" s="1568"/>
      <c r="AB19" s="1568"/>
      <c r="AC19" s="1568">
        <f>Z19+AA19</f>
        <v>0</v>
      </c>
      <c r="AD19" s="1564">
        <f t="shared" si="54"/>
        <v>9.9</v>
      </c>
      <c r="AE19" s="1564">
        <f t="shared" si="54"/>
        <v>4.4000000000000004</v>
      </c>
      <c r="AF19" s="1564">
        <f t="shared" si="54"/>
        <v>0</v>
      </c>
      <c r="AG19" s="1564">
        <f>AD19+AE19+AF19</f>
        <v>14.3</v>
      </c>
      <c r="AH19" s="1564">
        <f t="shared" si="55"/>
        <v>9.9</v>
      </c>
      <c r="AI19" s="1564">
        <f t="shared" si="55"/>
        <v>77.300000000000011</v>
      </c>
      <c r="AJ19" s="1564">
        <f t="shared" si="55"/>
        <v>0</v>
      </c>
      <c r="AK19" s="1564">
        <f>AH19+AI19+AJ19</f>
        <v>87.200000000000017</v>
      </c>
      <c r="AL19" s="1579"/>
      <c r="AM19" s="1579">
        <v>8.6</v>
      </c>
      <c r="AN19" s="1579"/>
      <c r="AO19" s="1579">
        <f>AL19+AM19</f>
        <v>8.6</v>
      </c>
      <c r="AP19" s="1579">
        <v>9.6</v>
      </c>
      <c r="AQ19" s="1579">
        <v>4.9000000000000004</v>
      </c>
      <c r="AR19" s="1579"/>
      <c r="AS19" s="1579">
        <f>AP19+AQ19</f>
        <v>14.5</v>
      </c>
      <c r="AT19" s="1579">
        <v>4.3</v>
      </c>
      <c r="AU19" s="1579">
        <v>10</v>
      </c>
      <c r="AV19" s="1579"/>
      <c r="AW19" s="1579">
        <f>AT19+AU19</f>
        <v>14.3</v>
      </c>
      <c r="AX19" s="1564">
        <f t="shared" si="56"/>
        <v>13.899999999999999</v>
      </c>
      <c r="AY19" s="1564">
        <f t="shared" si="56"/>
        <v>23.5</v>
      </c>
      <c r="AZ19" s="1564">
        <f t="shared" si="56"/>
        <v>0</v>
      </c>
      <c r="BA19" s="1564">
        <f>AX19+AY19+AZ19</f>
        <v>37.4</v>
      </c>
      <c r="BB19" s="1564">
        <f t="shared" si="57"/>
        <v>23.799999999999997</v>
      </c>
      <c r="BC19" s="1564">
        <f t="shared" si="57"/>
        <v>100.80000000000001</v>
      </c>
      <c r="BD19" s="1564">
        <f t="shared" si="57"/>
        <v>0</v>
      </c>
      <c r="BE19" s="1564">
        <f>BB19+BC19+BD19</f>
        <v>124.60000000000001</v>
      </c>
      <c r="BF19" s="1579">
        <v>0.9</v>
      </c>
      <c r="BG19" s="1579">
        <v>1.7</v>
      </c>
      <c r="BH19" s="1579"/>
      <c r="BI19" s="1568">
        <f>BF19+BG19</f>
        <v>2.6</v>
      </c>
      <c r="BJ19" s="1579">
        <v>22.2</v>
      </c>
      <c r="BK19" s="1579">
        <v>10.199999999999999</v>
      </c>
      <c r="BL19" s="1580"/>
      <c r="BM19" s="1568">
        <f>BJ19+BK19</f>
        <v>32.4</v>
      </c>
      <c r="BN19" s="1580">
        <v>70.2</v>
      </c>
      <c r="BO19" s="1580">
        <v>3.7</v>
      </c>
      <c r="BP19" s="1580"/>
      <c r="BQ19" s="1581">
        <f>BN19+BO19+BP19</f>
        <v>73.900000000000006</v>
      </c>
      <c r="BR19" s="1564">
        <f t="shared" si="58"/>
        <v>93.3</v>
      </c>
      <c r="BS19" s="1564">
        <f t="shared" si="58"/>
        <v>15.599999999999998</v>
      </c>
      <c r="BT19" s="1564">
        <f t="shared" si="58"/>
        <v>0</v>
      </c>
      <c r="BU19" s="1564">
        <f>BR19+BS19+BT19</f>
        <v>108.89999999999999</v>
      </c>
      <c r="BV19" s="1598">
        <f>BB19+BR19+116.121</f>
        <v>233.221</v>
      </c>
      <c r="BW19" s="1565">
        <v>0.27940379929991266</v>
      </c>
      <c r="BX19" s="1565">
        <f>BC19+BS19-BW19-116.121</f>
        <v>-4.0379929990308483E-4</v>
      </c>
      <c r="BY19" s="1565">
        <f>BD19+BT19</f>
        <v>0</v>
      </c>
      <c r="BZ19" s="1565">
        <f>BV19+BX19+BY19+BW19</f>
        <v>233.5</v>
      </c>
      <c r="CA19" s="1566"/>
    </row>
    <row r="20" spans="1:79">
      <c r="A20" s="1584" t="s">
        <v>1471</v>
      </c>
      <c r="B20" s="1568"/>
      <c r="C20" s="1568">
        <v>0.8</v>
      </c>
      <c r="D20" s="1568"/>
      <c r="E20" s="1568">
        <f>B20+C20</f>
        <v>0.8</v>
      </c>
      <c r="F20" s="1568"/>
      <c r="G20" s="1568"/>
      <c r="H20" s="1568"/>
      <c r="I20" s="1568">
        <f>F20+G20</f>
        <v>0</v>
      </c>
      <c r="J20" s="1568">
        <v>5.7</v>
      </c>
      <c r="K20" s="1568"/>
      <c r="L20" s="1568"/>
      <c r="M20" s="1568">
        <f>J20+K20</f>
        <v>5.7</v>
      </c>
      <c r="N20" s="1564">
        <f t="shared" si="53"/>
        <v>5.7</v>
      </c>
      <c r="O20" s="1564">
        <f t="shared" si="53"/>
        <v>0.8</v>
      </c>
      <c r="P20" s="1564">
        <f t="shared" si="53"/>
        <v>0</v>
      </c>
      <c r="Q20" s="1564">
        <f>N20+O20+P20</f>
        <v>6.5</v>
      </c>
      <c r="R20" s="1568"/>
      <c r="S20" s="1568"/>
      <c r="T20" s="1568"/>
      <c r="U20" s="1568">
        <f>R20+S20</f>
        <v>0</v>
      </c>
      <c r="V20" s="1568">
        <v>0.2</v>
      </c>
      <c r="W20" s="1568"/>
      <c r="X20" s="1568"/>
      <c r="Y20" s="1568">
        <f>V20+W20</f>
        <v>0.2</v>
      </c>
      <c r="Z20" s="1568">
        <v>3.8</v>
      </c>
      <c r="AA20" s="1568">
        <v>4.8</v>
      </c>
      <c r="AB20" s="1568"/>
      <c r="AC20" s="1568">
        <f>Z20+AA20</f>
        <v>8.6</v>
      </c>
      <c r="AD20" s="1564">
        <f t="shared" si="54"/>
        <v>4</v>
      </c>
      <c r="AE20" s="1564">
        <f t="shared" si="54"/>
        <v>4.8</v>
      </c>
      <c r="AF20" s="1564">
        <f t="shared" si="54"/>
        <v>0</v>
      </c>
      <c r="AG20" s="1564">
        <f>AD20+AE20+AF20</f>
        <v>8.8000000000000007</v>
      </c>
      <c r="AH20" s="1564">
        <f t="shared" si="55"/>
        <v>9.6999999999999993</v>
      </c>
      <c r="AI20" s="1564">
        <f t="shared" si="55"/>
        <v>5.6</v>
      </c>
      <c r="AJ20" s="1564">
        <f t="shared" si="55"/>
        <v>0</v>
      </c>
      <c r="AK20" s="1564">
        <f>AH20+AI20+AJ20</f>
        <v>15.299999999999999</v>
      </c>
      <c r="AL20" s="1579"/>
      <c r="AM20" s="1579"/>
      <c r="AN20" s="1579"/>
      <c r="AO20" s="1579">
        <f>AL20+AM20</f>
        <v>0</v>
      </c>
      <c r="AP20" s="1579"/>
      <c r="AQ20" s="1579"/>
      <c r="AR20" s="1579"/>
      <c r="AS20" s="1579">
        <f>AP20+AQ20</f>
        <v>0</v>
      </c>
      <c r="AT20" s="1579">
        <v>0.2</v>
      </c>
      <c r="AU20" s="1579"/>
      <c r="AV20" s="1579"/>
      <c r="AW20" s="1579">
        <f>AT20+AU20</f>
        <v>0.2</v>
      </c>
      <c r="AX20" s="1564">
        <f t="shared" si="56"/>
        <v>0.2</v>
      </c>
      <c r="AY20" s="1564">
        <f t="shared" si="56"/>
        <v>0</v>
      </c>
      <c r="AZ20" s="1564">
        <f t="shared" si="56"/>
        <v>0</v>
      </c>
      <c r="BA20" s="1564">
        <f>AX20+AY20+AZ20</f>
        <v>0.2</v>
      </c>
      <c r="BB20" s="1564">
        <f t="shared" si="57"/>
        <v>9.8999999999999986</v>
      </c>
      <c r="BC20" s="1564">
        <f t="shared" si="57"/>
        <v>5.6</v>
      </c>
      <c r="BD20" s="1564">
        <f t="shared" si="57"/>
        <v>0</v>
      </c>
      <c r="BE20" s="1564">
        <f>BB20+BC20+BD20</f>
        <v>15.499999999999998</v>
      </c>
      <c r="BF20" s="1579">
        <v>17.7</v>
      </c>
      <c r="BG20" s="1579">
        <v>4.4000000000000004</v>
      </c>
      <c r="BH20" s="1579"/>
      <c r="BI20" s="1568">
        <f>BF20+BG20</f>
        <v>22.1</v>
      </c>
      <c r="BJ20" s="1579">
        <v>0.9</v>
      </c>
      <c r="BK20" s="1579"/>
      <c r="BL20" s="1580"/>
      <c r="BM20" s="1568">
        <f>BJ20+BK20</f>
        <v>0.9</v>
      </c>
      <c r="BN20" s="1580">
        <v>0.5</v>
      </c>
      <c r="BO20" s="1580">
        <v>0.2</v>
      </c>
      <c r="BP20" s="1580"/>
      <c r="BQ20" s="1581">
        <f>BN20+BO20+BP20</f>
        <v>0.7</v>
      </c>
      <c r="BR20" s="1564">
        <f t="shared" si="58"/>
        <v>19.099999999999998</v>
      </c>
      <c r="BS20" s="1564">
        <f t="shared" si="58"/>
        <v>4.6000000000000005</v>
      </c>
      <c r="BT20" s="1564">
        <f t="shared" si="58"/>
        <v>0</v>
      </c>
      <c r="BU20" s="1564">
        <f>BR20+BS20+BT20</f>
        <v>23.7</v>
      </c>
      <c r="BV20" s="1598">
        <f>BB20+BR20</f>
        <v>28.999999999999996</v>
      </c>
      <c r="BW20" s="1565">
        <v>6.9194792311677758E-2</v>
      </c>
      <c r="BX20" s="1565">
        <f>BC20+BS20-BW20</f>
        <v>10.130805207688322</v>
      </c>
      <c r="BY20" s="1565">
        <f>BD20+BT20</f>
        <v>0</v>
      </c>
      <c r="BZ20" s="1565">
        <f>BV20+BX20+BY20+BW20</f>
        <v>39.199999999999996</v>
      </c>
      <c r="CA20" s="1566"/>
    </row>
    <row r="21" spans="1:79">
      <c r="A21" s="1585" t="s">
        <v>1472</v>
      </c>
      <c r="B21" s="1568">
        <v>815.9</v>
      </c>
      <c r="C21" s="1568">
        <v>445.6</v>
      </c>
      <c r="D21" s="1568"/>
      <c r="E21" s="1568">
        <f>B21+C21</f>
        <v>1261.5</v>
      </c>
      <c r="F21" s="1568">
        <v>820.2</v>
      </c>
      <c r="G21" s="1568">
        <v>455.2</v>
      </c>
      <c r="H21" s="1568"/>
      <c r="I21" s="1568">
        <f>F21+G21</f>
        <v>1275.4000000000001</v>
      </c>
      <c r="J21" s="1568">
        <v>1232</v>
      </c>
      <c r="K21" s="1568">
        <v>539.9</v>
      </c>
      <c r="L21" s="1568"/>
      <c r="M21" s="1568">
        <f>J21+K21</f>
        <v>1771.9</v>
      </c>
      <c r="N21" s="1564">
        <f t="shared" si="53"/>
        <v>2868.1</v>
      </c>
      <c r="O21" s="1564">
        <f t="shared" si="53"/>
        <v>1440.6999999999998</v>
      </c>
      <c r="P21" s="1564">
        <f t="shared" si="53"/>
        <v>0</v>
      </c>
      <c r="Q21" s="1564">
        <f>N21+O21+P21</f>
        <v>4308.7999999999993</v>
      </c>
      <c r="R21" s="1568">
        <v>662.1</v>
      </c>
      <c r="S21" s="1568">
        <v>431.8</v>
      </c>
      <c r="T21" s="1568"/>
      <c r="U21" s="1568">
        <f>R21+S21</f>
        <v>1093.9000000000001</v>
      </c>
      <c r="V21" s="1568">
        <v>753</v>
      </c>
      <c r="W21" s="1568">
        <v>371.6</v>
      </c>
      <c r="X21" s="1568"/>
      <c r="Y21" s="1568">
        <f>V21+W21</f>
        <v>1124.5999999999999</v>
      </c>
      <c r="Z21" s="1568">
        <v>679</v>
      </c>
      <c r="AA21" s="1568">
        <v>477.8</v>
      </c>
      <c r="AB21" s="1568"/>
      <c r="AC21" s="1568">
        <f>Z21+AA21</f>
        <v>1156.8</v>
      </c>
      <c r="AD21" s="1564">
        <f t="shared" si="54"/>
        <v>2094.1</v>
      </c>
      <c r="AE21" s="1564">
        <f t="shared" si="54"/>
        <v>1281.2</v>
      </c>
      <c r="AF21" s="1564">
        <f t="shared" si="54"/>
        <v>0</v>
      </c>
      <c r="AG21" s="1564">
        <f>AD21+AE21+AF21</f>
        <v>3375.3</v>
      </c>
      <c r="AH21" s="1564">
        <f t="shared" si="55"/>
        <v>4962.2</v>
      </c>
      <c r="AI21" s="1564">
        <f t="shared" si="55"/>
        <v>2721.8999999999996</v>
      </c>
      <c r="AJ21" s="1564">
        <f t="shared" si="55"/>
        <v>0</v>
      </c>
      <c r="AK21" s="1564">
        <f>AH21+AI21+AJ21</f>
        <v>7684.0999999999995</v>
      </c>
      <c r="AL21" s="1579">
        <v>801.9</v>
      </c>
      <c r="AM21" s="1579">
        <v>508.4</v>
      </c>
      <c r="AN21" s="1579"/>
      <c r="AO21" s="1579">
        <f>AL21+AM21</f>
        <v>1310.3</v>
      </c>
      <c r="AP21" s="1579">
        <v>879.9</v>
      </c>
      <c r="AQ21" s="1579">
        <v>480.8</v>
      </c>
      <c r="AR21" s="1579"/>
      <c r="AS21" s="1579">
        <f>AP21+AQ21</f>
        <v>1360.7</v>
      </c>
      <c r="AT21" s="1579">
        <v>707.1</v>
      </c>
      <c r="AU21" s="1579">
        <v>427.6</v>
      </c>
      <c r="AV21" s="1579"/>
      <c r="AW21" s="1579">
        <f>AT21+AU21</f>
        <v>1134.7</v>
      </c>
      <c r="AX21" s="1564">
        <f t="shared" si="56"/>
        <v>2388.9</v>
      </c>
      <c r="AY21" s="1564">
        <f t="shared" si="56"/>
        <v>1416.8000000000002</v>
      </c>
      <c r="AZ21" s="1564">
        <f t="shared" si="56"/>
        <v>0</v>
      </c>
      <c r="BA21" s="1564">
        <f>AX21+AY21+AZ21</f>
        <v>3805.7000000000003</v>
      </c>
      <c r="BB21" s="1564">
        <f t="shared" si="57"/>
        <v>7351.1</v>
      </c>
      <c r="BC21" s="1564">
        <f t="shared" si="57"/>
        <v>4138.7</v>
      </c>
      <c r="BD21" s="1564">
        <f t="shared" si="57"/>
        <v>0</v>
      </c>
      <c r="BE21" s="1564">
        <f>BB21+BC21+BD21</f>
        <v>11489.8</v>
      </c>
      <c r="BF21" s="1579">
        <v>799.7</v>
      </c>
      <c r="BG21" s="1579">
        <v>432.6</v>
      </c>
      <c r="BH21" s="1579"/>
      <c r="BI21" s="1568">
        <f>BF21+BG21</f>
        <v>1232.3000000000002</v>
      </c>
      <c r="BJ21" s="1579">
        <v>1233.9000000000001</v>
      </c>
      <c r="BK21" s="1579">
        <v>283.10000000000002</v>
      </c>
      <c r="BL21" s="1580"/>
      <c r="BM21" s="1568">
        <f>BJ21+BK21</f>
        <v>1517</v>
      </c>
      <c r="BN21" s="1580">
        <v>1253</v>
      </c>
      <c r="BO21" s="1580">
        <v>152.1</v>
      </c>
      <c r="BP21" s="1580"/>
      <c r="BQ21" s="1581">
        <f>BN21+BO21+BP21</f>
        <v>1405.1</v>
      </c>
      <c r="BR21" s="1564">
        <f t="shared" si="58"/>
        <v>3286.6000000000004</v>
      </c>
      <c r="BS21" s="1564">
        <f t="shared" si="58"/>
        <v>867.80000000000007</v>
      </c>
      <c r="BT21" s="1564">
        <f t="shared" si="58"/>
        <v>0</v>
      </c>
      <c r="BU21" s="1564">
        <f>BR21+BS21+BT21</f>
        <v>4154.4000000000005</v>
      </c>
      <c r="BV21" s="1582">
        <v>12737.7</v>
      </c>
      <c r="BW21" s="1565">
        <v>25.381842833583956</v>
      </c>
      <c r="BX21" s="1565">
        <v>2881.1181571664165</v>
      </c>
      <c r="BY21" s="1565">
        <f>BD21+BT21</f>
        <v>0</v>
      </c>
      <c r="BZ21" s="1565">
        <f>BV21+BX21+BY21+BW21</f>
        <v>15644.2</v>
      </c>
      <c r="CA21" s="1566"/>
    </row>
    <row r="22" spans="1:79">
      <c r="A22" s="1585"/>
      <c r="B22" s="1568"/>
      <c r="C22" s="1568"/>
      <c r="D22" s="1568"/>
      <c r="E22" s="1568"/>
      <c r="F22" s="1568"/>
      <c r="G22" s="1568"/>
      <c r="H22" s="1568"/>
      <c r="I22" s="1568"/>
      <c r="J22" s="1568"/>
      <c r="K22" s="1568"/>
      <c r="L22" s="1568"/>
      <c r="M22" s="1568"/>
      <c r="N22" s="1564"/>
      <c r="O22" s="1564"/>
      <c r="P22" s="1564"/>
      <c r="Q22" s="1564"/>
      <c r="R22" s="1568"/>
      <c r="S22" s="1568"/>
      <c r="T22" s="1568"/>
      <c r="U22" s="1568"/>
      <c r="V22" s="1568"/>
      <c r="W22" s="1568"/>
      <c r="X22" s="1568"/>
      <c r="Y22" s="1568"/>
      <c r="Z22" s="1568"/>
      <c r="AA22" s="1568"/>
      <c r="AB22" s="1568"/>
      <c r="AC22" s="1568"/>
      <c r="AD22" s="1564"/>
      <c r="AE22" s="1564"/>
      <c r="AF22" s="1564"/>
      <c r="AG22" s="1564"/>
      <c r="AH22" s="1564"/>
      <c r="AI22" s="1564"/>
      <c r="AJ22" s="1564"/>
      <c r="AK22" s="1564"/>
      <c r="AL22" s="1579"/>
      <c r="AM22" s="1579"/>
      <c r="AN22" s="1579"/>
      <c r="AO22" s="1579"/>
      <c r="AP22" s="1579"/>
      <c r="AQ22" s="1579"/>
      <c r="AR22" s="1579"/>
      <c r="AS22" s="1579"/>
      <c r="AT22" s="1579"/>
      <c r="AU22" s="1579"/>
      <c r="AV22" s="1579"/>
      <c r="AW22" s="1579"/>
      <c r="AX22" s="1564"/>
      <c r="AY22" s="1564"/>
      <c r="AZ22" s="1564"/>
      <c r="BA22" s="1564"/>
      <c r="BB22" s="1564"/>
      <c r="BC22" s="1564"/>
      <c r="BD22" s="1564"/>
      <c r="BE22" s="1564"/>
      <c r="BF22" s="1579"/>
      <c r="BG22" s="1579"/>
      <c r="BH22" s="1579"/>
      <c r="BI22" s="1568"/>
      <c r="BJ22" s="1579"/>
      <c r="BK22" s="1579"/>
      <c r="BL22" s="1580"/>
      <c r="BM22" s="1568"/>
      <c r="BN22" s="1580"/>
      <c r="BO22" s="1580"/>
      <c r="BP22" s="1580"/>
      <c r="BQ22" s="1581"/>
      <c r="BR22" s="1564"/>
      <c r="BS22" s="1564"/>
      <c r="BT22" s="1564"/>
      <c r="BU22" s="1564"/>
      <c r="BV22" s="1582"/>
      <c r="BW22" s="1565"/>
      <c r="BX22" s="1565"/>
      <c r="BY22" s="1565"/>
      <c r="BZ22" s="1565"/>
      <c r="CA22" s="1566"/>
    </row>
    <row r="23" spans="1:79" ht="16.5" customHeight="1">
      <c r="A23" s="1569" t="s">
        <v>1499</v>
      </c>
      <c r="B23" s="1568"/>
      <c r="C23" s="1568">
        <v>7.7</v>
      </c>
      <c r="D23" s="1568"/>
      <c r="E23" s="1568">
        <f>B23+C23</f>
        <v>7.7</v>
      </c>
      <c r="F23" s="1568">
        <v>4.5</v>
      </c>
      <c r="G23" s="1568">
        <v>0.4</v>
      </c>
      <c r="H23" s="1568"/>
      <c r="I23" s="1568">
        <f>F23+G23</f>
        <v>4.9000000000000004</v>
      </c>
      <c r="J23" s="1568">
        <v>2.8</v>
      </c>
      <c r="K23" s="1568">
        <v>0.2</v>
      </c>
      <c r="L23" s="1568"/>
      <c r="M23" s="1568">
        <f>J23+K23</f>
        <v>3</v>
      </c>
      <c r="N23" s="1564">
        <f t="shared" ref="N23:P25" si="59">B23+F23+J23</f>
        <v>7.3</v>
      </c>
      <c r="O23" s="1564">
        <f t="shared" si="59"/>
        <v>8.2999999999999989</v>
      </c>
      <c r="P23" s="1564">
        <f t="shared" si="59"/>
        <v>0</v>
      </c>
      <c r="Q23" s="1564">
        <f>N23+O23+P23</f>
        <v>15.599999999999998</v>
      </c>
      <c r="R23" s="1568">
        <v>4.2</v>
      </c>
      <c r="S23" s="1568">
        <v>0.5</v>
      </c>
      <c r="T23" s="1568"/>
      <c r="U23" s="1568">
        <f>R23+S23</f>
        <v>4.7</v>
      </c>
      <c r="V23" s="1568">
        <v>7</v>
      </c>
      <c r="W23" s="1568">
        <v>0.4</v>
      </c>
      <c r="X23" s="1568"/>
      <c r="Y23" s="1568">
        <f>V23+W23</f>
        <v>7.4</v>
      </c>
      <c r="Z23" s="1568">
        <v>6.9</v>
      </c>
      <c r="AA23" s="1568">
        <v>0.7</v>
      </c>
      <c r="AB23" s="1568"/>
      <c r="AC23" s="1568">
        <f>Z23+AA23</f>
        <v>7.6000000000000005</v>
      </c>
      <c r="AD23" s="1564">
        <f t="shared" ref="AD23:AF25" si="60">R23+V23+Z23</f>
        <v>18.100000000000001</v>
      </c>
      <c r="AE23" s="1564">
        <f t="shared" si="60"/>
        <v>1.6</v>
      </c>
      <c r="AF23" s="1564">
        <f t="shared" si="60"/>
        <v>0</v>
      </c>
      <c r="AG23" s="1564">
        <f>AD23+AE23+AF23</f>
        <v>19.700000000000003</v>
      </c>
      <c r="AH23" s="1564">
        <f t="shared" ref="AH23:AJ25" si="61">N23+AD23</f>
        <v>25.400000000000002</v>
      </c>
      <c r="AI23" s="1564">
        <f t="shared" si="61"/>
        <v>9.8999999999999986</v>
      </c>
      <c r="AJ23" s="1564">
        <f t="shared" si="61"/>
        <v>0</v>
      </c>
      <c r="AK23" s="1564">
        <f>AH23+AI23+AJ23</f>
        <v>35.299999999999997</v>
      </c>
      <c r="AL23" s="1579">
        <v>7.1</v>
      </c>
      <c r="AM23" s="1579">
        <v>0.6</v>
      </c>
      <c r="AN23" s="1579"/>
      <c r="AO23" s="1579">
        <f>AL23+AM23</f>
        <v>7.6999999999999993</v>
      </c>
      <c r="AP23" s="1579">
        <v>4</v>
      </c>
      <c r="AQ23" s="1579">
        <v>0.7</v>
      </c>
      <c r="AR23" s="1579"/>
      <c r="AS23" s="1579">
        <f>AP23+AQ23</f>
        <v>4.7</v>
      </c>
      <c r="AT23" s="1579">
        <v>9.4</v>
      </c>
      <c r="AU23" s="1579">
        <v>0.8</v>
      </c>
      <c r="AV23" s="1579"/>
      <c r="AW23" s="1579">
        <f>AT23+AU23</f>
        <v>10.200000000000001</v>
      </c>
      <c r="AX23" s="1564">
        <f t="shared" ref="AX23:AZ25" si="62">AL23+AP23+AT23</f>
        <v>20.5</v>
      </c>
      <c r="AY23" s="1564">
        <f t="shared" si="62"/>
        <v>2.0999999999999996</v>
      </c>
      <c r="AZ23" s="1564">
        <f t="shared" si="62"/>
        <v>0</v>
      </c>
      <c r="BA23" s="1564">
        <f>AX23+AY23+AZ23</f>
        <v>22.6</v>
      </c>
      <c r="BB23" s="1564">
        <f t="shared" ref="BB23:BD25" si="63">AH23+AX23</f>
        <v>45.900000000000006</v>
      </c>
      <c r="BC23" s="1564">
        <f t="shared" si="63"/>
        <v>11.999999999999998</v>
      </c>
      <c r="BD23" s="1564">
        <f t="shared" si="63"/>
        <v>0</v>
      </c>
      <c r="BE23" s="1564">
        <f>BB23+BC23+BD23</f>
        <v>57.900000000000006</v>
      </c>
      <c r="BF23" s="1579">
        <v>7.2</v>
      </c>
      <c r="BG23" s="1579">
        <v>0.6</v>
      </c>
      <c r="BH23" s="1579"/>
      <c r="BI23" s="1568">
        <f>BF23+BG23</f>
        <v>7.8</v>
      </c>
      <c r="BJ23" s="1579">
        <v>6.95</v>
      </c>
      <c r="BK23" s="1579">
        <v>0.9</v>
      </c>
      <c r="BL23" s="1580"/>
      <c r="BM23" s="1568">
        <f>BJ23+BK23</f>
        <v>7.8500000000000005</v>
      </c>
      <c r="BN23" s="1580">
        <v>7.6</v>
      </c>
      <c r="BO23" s="1580">
        <v>0.3</v>
      </c>
      <c r="BP23" s="1580"/>
      <c r="BQ23" s="1581">
        <f>BN23+BO23+BP23</f>
        <v>7.8999999999999995</v>
      </c>
      <c r="BR23" s="1564">
        <f t="shared" ref="BR23:BT25" si="64">BF23+BJ23+BN23</f>
        <v>21.75</v>
      </c>
      <c r="BS23" s="1564">
        <f t="shared" si="64"/>
        <v>1.8</v>
      </c>
      <c r="BT23" s="1564">
        <f t="shared" si="64"/>
        <v>0</v>
      </c>
      <c r="BU23" s="1564">
        <f>BR23+BS23+BT23</f>
        <v>23.55</v>
      </c>
      <c r="BV23" s="1599">
        <f>BB23+BR23+13.639</f>
        <v>81.289000000000001</v>
      </c>
      <c r="BW23" s="1565">
        <v>0.16141474827189664</v>
      </c>
      <c r="BX23" s="1565"/>
      <c r="BY23" s="1565">
        <f>BD23+BT23</f>
        <v>0</v>
      </c>
      <c r="BZ23" s="1565">
        <f>BV23+BX23+BY23+BW23</f>
        <v>81.450414748271896</v>
      </c>
      <c r="CA23" s="1566"/>
    </row>
    <row r="24" spans="1:79">
      <c r="A24" s="1569" t="s">
        <v>1479</v>
      </c>
      <c r="B24" s="1568"/>
      <c r="C24" s="1568"/>
      <c r="D24" s="1568"/>
      <c r="E24" s="1568">
        <f>B24+C24</f>
        <v>0</v>
      </c>
      <c r="F24" s="1568"/>
      <c r="G24" s="1568"/>
      <c r="H24" s="1568"/>
      <c r="I24" s="1568">
        <f>F24+G24</f>
        <v>0</v>
      </c>
      <c r="J24" s="1568"/>
      <c r="K24" s="1568"/>
      <c r="L24" s="1568"/>
      <c r="M24" s="1568">
        <f>J24+K24</f>
        <v>0</v>
      </c>
      <c r="N24" s="1564">
        <f t="shared" si="59"/>
        <v>0</v>
      </c>
      <c r="O24" s="1564">
        <f t="shared" si="59"/>
        <v>0</v>
      </c>
      <c r="P24" s="1564">
        <f t="shared" si="59"/>
        <v>0</v>
      </c>
      <c r="Q24" s="1564">
        <f>N24+O24+P24</f>
        <v>0</v>
      </c>
      <c r="R24" s="1568"/>
      <c r="S24" s="1568">
        <v>14.1</v>
      </c>
      <c r="T24" s="1568"/>
      <c r="U24" s="1568">
        <f>R24+S24</f>
        <v>14.1</v>
      </c>
      <c r="V24" s="1568"/>
      <c r="W24" s="1568"/>
      <c r="X24" s="1568"/>
      <c r="Y24" s="1568">
        <f>V24+W24</f>
        <v>0</v>
      </c>
      <c r="Z24" s="1568">
        <v>13.3</v>
      </c>
      <c r="AA24" s="1568">
        <v>0.6</v>
      </c>
      <c r="AB24" s="1568"/>
      <c r="AC24" s="1568">
        <f>Z24+AA24</f>
        <v>13.9</v>
      </c>
      <c r="AD24" s="1564">
        <f t="shared" si="60"/>
        <v>13.3</v>
      </c>
      <c r="AE24" s="1564">
        <f t="shared" si="60"/>
        <v>14.7</v>
      </c>
      <c r="AF24" s="1564">
        <f t="shared" si="60"/>
        <v>0</v>
      </c>
      <c r="AG24" s="1564">
        <f>AD24+AE24+AF24</f>
        <v>28</v>
      </c>
      <c r="AH24" s="1564">
        <f t="shared" si="61"/>
        <v>13.3</v>
      </c>
      <c r="AI24" s="1564">
        <f t="shared" si="61"/>
        <v>14.7</v>
      </c>
      <c r="AJ24" s="1564">
        <f t="shared" si="61"/>
        <v>0</v>
      </c>
      <c r="AK24" s="1564">
        <f>AH24+AI24+AJ24</f>
        <v>28</v>
      </c>
      <c r="AL24" s="1579">
        <v>3.8</v>
      </c>
      <c r="AM24" s="1579"/>
      <c r="AN24" s="1579"/>
      <c r="AO24" s="1579">
        <f>AL24+AM24</f>
        <v>3.8</v>
      </c>
      <c r="AP24" s="1579">
        <v>3.8</v>
      </c>
      <c r="AQ24" s="1579"/>
      <c r="AR24" s="1579"/>
      <c r="AS24" s="1579">
        <f>AP24+AQ24</f>
        <v>3.8</v>
      </c>
      <c r="AT24" s="1579"/>
      <c r="AU24" s="1579"/>
      <c r="AV24" s="1579"/>
      <c r="AW24" s="1579">
        <f>AT24+AU24</f>
        <v>0</v>
      </c>
      <c r="AX24" s="1564">
        <f t="shared" si="62"/>
        <v>7.6</v>
      </c>
      <c r="AY24" s="1564">
        <f t="shared" si="62"/>
        <v>0</v>
      </c>
      <c r="AZ24" s="1564">
        <f t="shared" si="62"/>
        <v>0</v>
      </c>
      <c r="BA24" s="1564">
        <f>AX24+AY24+AZ24</f>
        <v>7.6</v>
      </c>
      <c r="BB24" s="1564">
        <f t="shared" si="63"/>
        <v>20.9</v>
      </c>
      <c r="BC24" s="1564">
        <f t="shared" si="63"/>
        <v>14.7</v>
      </c>
      <c r="BD24" s="1564">
        <f t="shared" si="63"/>
        <v>0</v>
      </c>
      <c r="BE24" s="1564">
        <f>BB24+BC24+BD24</f>
        <v>35.599999999999994</v>
      </c>
      <c r="BF24" s="1579">
        <v>12.7</v>
      </c>
      <c r="BG24" s="1579">
        <v>1.9</v>
      </c>
      <c r="BH24" s="1579"/>
      <c r="BI24" s="1568">
        <f>BF24+BG24</f>
        <v>14.6</v>
      </c>
      <c r="BJ24" s="1579">
        <v>3.1</v>
      </c>
      <c r="BK24" s="1579">
        <v>0.8</v>
      </c>
      <c r="BL24" s="1580"/>
      <c r="BM24" s="1568">
        <f>BJ24+BK24</f>
        <v>3.9000000000000004</v>
      </c>
      <c r="BN24" s="1580">
        <v>12.5</v>
      </c>
      <c r="BO24" s="1580">
        <v>0.8</v>
      </c>
      <c r="BP24" s="1580"/>
      <c r="BQ24" s="1581">
        <f>BN24+BO24+BP24</f>
        <v>13.3</v>
      </c>
      <c r="BR24" s="1564">
        <f t="shared" si="64"/>
        <v>28.299999999999997</v>
      </c>
      <c r="BS24" s="1564">
        <f t="shared" si="64"/>
        <v>3.5</v>
      </c>
      <c r="BT24" s="1564">
        <f t="shared" si="64"/>
        <v>0</v>
      </c>
      <c r="BU24" s="1564">
        <f>BR24+BS24+BT24</f>
        <v>31.799999999999997</v>
      </c>
      <c r="BV24" s="1599">
        <f>BB24+BR24+18.083</f>
        <v>67.282999999999987</v>
      </c>
      <c r="BW24" s="1565">
        <v>0.117392544197743</v>
      </c>
      <c r="BX24" s="1565"/>
      <c r="BY24" s="1565">
        <f>BD24+BT24</f>
        <v>0</v>
      </c>
      <c r="BZ24" s="1565">
        <f>BV24+BX24+BY24+BW24</f>
        <v>67.400392544197729</v>
      </c>
      <c r="CA24" s="1566"/>
    </row>
    <row r="25" spans="1:79" ht="25.5">
      <c r="A25" s="1569" t="s">
        <v>1480</v>
      </c>
      <c r="B25" s="1568"/>
      <c r="C25" s="1568"/>
      <c r="D25" s="1568"/>
      <c r="E25" s="1568">
        <f>B25+C25</f>
        <v>0</v>
      </c>
      <c r="F25" s="1568"/>
      <c r="G25" s="1568"/>
      <c r="H25" s="1568"/>
      <c r="I25" s="1568">
        <f>F25+G25</f>
        <v>0</v>
      </c>
      <c r="J25" s="1568"/>
      <c r="K25" s="1568"/>
      <c r="L25" s="1568"/>
      <c r="M25" s="1568">
        <f>J25+K25</f>
        <v>0</v>
      </c>
      <c r="N25" s="1564">
        <f t="shared" si="59"/>
        <v>0</v>
      </c>
      <c r="O25" s="1564">
        <f t="shared" si="59"/>
        <v>0</v>
      </c>
      <c r="P25" s="1564">
        <f t="shared" si="59"/>
        <v>0</v>
      </c>
      <c r="Q25" s="1564">
        <f>N25+O25+P25</f>
        <v>0</v>
      </c>
      <c r="R25" s="1568"/>
      <c r="S25" s="1568"/>
      <c r="T25" s="1568"/>
      <c r="U25" s="1568">
        <f>R25+S25</f>
        <v>0</v>
      </c>
      <c r="V25" s="1568">
        <v>41.7</v>
      </c>
      <c r="W25" s="1568">
        <v>0.4</v>
      </c>
      <c r="X25" s="1568"/>
      <c r="Y25" s="1568">
        <f>V25+W25</f>
        <v>42.1</v>
      </c>
      <c r="Z25" s="1568">
        <v>1.2</v>
      </c>
      <c r="AA25" s="1568">
        <v>0.3</v>
      </c>
      <c r="AB25" s="1568"/>
      <c r="AC25" s="1568">
        <f>Z25+AA25</f>
        <v>1.5</v>
      </c>
      <c r="AD25" s="1564">
        <f t="shared" si="60"/>
        <v>42.900000000000006</v>
      </c>
      <c r="AE25" s="1564">
        <f t="shared" si="60"/>
        <v>0.7</v>
      </c>
      <c r="AF25" s="1564">
        <f t="shared" si="60"/>
        <v>0</v>
      </c>
      <c r="AG25" s="1564">
        <f>AD25+AE25+AF25</f>
        <v>43.600000000000009</v>
      </c>
      <c r="AH25" s="1564">
        <f t="shared" si="61"/>
        <v>42.900000000000006</v>
      </c>
      <c r="AI25" s="1564">
        <f t="shared" si="61"/>
        <v>0.7</v>
      </c>
      <c r="AJ25" s="1564">
        <f t="shared" si="61"/>
        <v>0</v>
      </c>
      <c r="AK25" s="1564">
        <f>AH25+AI25+AJ25</f>
        <v>43.600000000000009</v>
      </c>
      <c r="AL25" s="1579">
        <v>9</v>
      </c>
      <c r="AM25" s="1579">
        <v>4.5999999999999996</v>
      </c>
      <c r="AN25" s="1579"/>
      <c r="AO25" s="1579">
        <f>AL25+AM25</f>
        <v>13.6</v>
      </c>
      <c r="AP25" s="1579">
        <v>83</v>
      </c>
      <c r="AQ25" s="1579">
        <v>3.4</v>
      </c>
      <c r="AR25" s="1579"/>
      <c r="AS25" s="1579">
        <f>AP25+AQ25</f>
        <v>86.4</v>
      </c>
      <c r="AT25" s="1579">
        <v>6.3</v>
      </c>
      <c r="AU25" s="1579">
        <v>3.8</v>
      </c>
      <c r="AV25" s="1579"/>
      <c r="AW25" s="1579">
        <f>AT25+AU25</f>
        <v>10.1</v>
      </c>
      <c r="AX25" s="1564">
        <f t="shared" si="62"/>
        <v>98.3</v>
      </c>
      <c r="AY25" s="1564">
        <f t="shared" si="62"/>
        <v>11.8</v>
      </c>
      <c r="AZ25" s="1564">
        <f t="shared" si="62"/>
        <v>0</v>
      </c>
      <c r="BA25" s="1564">
        <f>AX25+AY25+AZ25</f>
        <v>110.1</v>
      </c>
      <c r="BB25" s="1564">
        <f t="shared" si="63"/>
        <v>141.19999999999999</v>
      </c>
      <c r="BC25" s="1564">
        <f t="shared" si="63"/>
        <v>12.5</v>
      </c>
      <c r="BD25" s="1564">
        <f t="shared" si="63"/>
        <v>0</v>
      </c>
      <c r="BE25" s="1564">
        <f>BB25+BC25+BD25</f>
        <v>153.69999999999999</v>
      </c>
      <c r="BF25" s="1579">
        <v>1</v>
      </c>
      <c r="BG25" s="1579"/>
      <c r="BH25" s="1579"/>
      <c r="BI25" s="1568">
        <f>BF25+BG25</f>
        <v>1</v>
      </c>
      <c r="BJ25" s="1579">
        <v>166.45</v>
      </c>
      <c r="BK25" s="1579">
        <v>3.89</v>
      </c>
      <c r="BL25" s="1580"/>
      <c r="BM25" s="1568">
        <f>BJ25+BK25</f>
        <v>170.33999999999997</v>
      </c>
      <c r="BN25" s="1580">
        <v>10.4</v>
      </c>
      <c r="BO25" s="1580">
        <v>2.2999999999999998</v>
      </c>
      <c r="BP25" s="1580"/>
      <c r="BQ25" s="1581">
        <f>BN25+BO25+BP25</f>
        <v>12.7</v>
      </c>
      <c r="BR25" s="1564">
        <f t="shared" si="64"/>
        <v>177.85</v>
      </c>
      <c r="BS25" s="1564">
        <f t="shared" si="64"/>
        <v>6.1899999999999995</v>
      </c>
      <c r="BT25" s="1564">
        <f t="shared" si="64"/>
        <v>0</v>
      </c>
      <c r="BU25" s="1564">
        <f>BR25+BS25+BT25</f>
        <v>184.04</v>
      </c>
      <c r="BV25" s="1599">
        <f>BB25+BR25</f>
        <v>319.04999999999995</v>
      </c>
      <c r="BW25" s="1565">
        <v>0.76126201679451011</v>
      </c>
      <c r="BX25" s="1565">
        <f>BC25+BS25-BW25</f>
        <v>17.928737983205487</v>
      </c>
      <c r="BY25" s="1565">
        <f>BD25+BT25</f>
        <v>0</v>
      </c>
      <c r="BZ25" s="1565">
        <f>BV25+BX25+BY25+BW25</f>
        <v>337.73999999999995</v>
      </c>
      <c r="CA25" s="1566"/>
    </row>
    <row r="27" spans="1:79">
      <c r="A27" s="1569" t="s">
        <v>77</v>
      </c>
      <c r="B27" s="1568"/>
      <c r="C27" s="1568"/>
      <c r="D27" s="1568"/>
      <c r="E27" s="1568">
        <f>B27+C27</f>
        <v>0</v>
      </c>
      <c r="F27" s="1568"/>
      <c r="G27" s="1568"/>
      <c r="H27" s="1568"/>
      <c r="I27" s="1568">
        <f>F27+G27</f>
        <v>0</v>
      </c>
      <c r="J27" s="1568"/>
      <c r="K27" s="1568"/>
      <c r="L27" s="1568"/>
      <c r="M27" s="1568">
        <f>J27+K27</f>
        <v>0</v>
      </c>
      <c r="N27" s="1564">
        <f t="shared" ref="N27:P28" si="65">B27+F27+J27</f>
        <v>0</v>
      </c>
      <c r="O27" s="1564">
        <f t="shared" si="65"/>
        <v>0</v>
      </c>
      <c r="P27" s="1564">
        <f t="shared" si="65"/>
        <v>0</v>
      </c>
      <c r="Q27" s="1564">
        <f>N27+O27+P27</f>
        <v>0</v>
      </c>
      <c r="R27" s="1568"/>
      <c r="S27" s="1568"/>
      <c r="T27" s="1568"/>
      <c r="U27" s="1568">
        <f>R27+S27</f>
        <v>0</v>
      </c>
      <c r="V27" s="1568"/>
      <c r="W27" s="1568"/>
      <c r="X27" s="1568"/>
      <c r="Y27" s="1568">
        <f>V27+W27</f>
        <v>0</v>
      </c>
      <c r="Z27" s="1568"/>
      <c r="AA27" s="1568"/>
      <c r="AB27" s="1568"/>
      <c r="AC27" s="1568">
        <f>Z27+AA27</f>
        <v>0</v>
      </c>
      <c r="AD27" s="1564">
        <f t="shared" ref="AD27:AF28" si="66">R27+V27+Z27</f>
        <v>0</v>
      </c>
      <c r="AE27" s="1564">
        <f t="shared" si="66"/>
        <v>0</v>
      </c>
      <c r="AF27" s="1564">
        <f t="shared" si="66"/>
        <v>0</v>
      </c>
      <c r="AG27" s="1564">
        <f>AD27+AE27+AF27</f>
        <v>0</v>
      </c>
      <c r="AH27" s="1564">
        <f t="shared" ref="AH27:AJ28" si="67">N27+AD27</f>
        <v>0</v>
      </c>
      <c r="AI27" s="1564">
        <f t="shared" si="67"/>
        <v>0</v>
      </c>
      <c r="AJ27" s="1564">
        <f t="shared" si="67"/>
        <v>0</v>
      </c>
      <c r="AK27" s="1564">
        <f>AH27+AI27+AJ27</f>
        <v>0</v>
      </c>
      <c r="AL27" s="1579"/>
      <c r="AM27" s="1579"/>
      <c r="AN27" s="1579"/>
      <c r="AO27" s="1579">
        <f>AL27+AM27</f>
        <v>0</v>
      </c>
      <c r="AP27" s="1579"/>
      <c r="AQ27" s="1579"/>
      <c r="AR27" s="1579"/>
      <c r="AS27" s="1579">
        <f>AP27+AQ27</f>
        <v>0</v>
      </c>
      <c r="AT27" s="1579">
        <v>6</v>
      </c>
      <c r="AU27" s="1579"/>
      <c r="AV27" s="1579"/>
      <c r="AW27" s="1579">
        <f>AT27+AU27</f>
        <v>6</v>
      </c>
      <c r="AX27" s="1564">
        <f t="shared" ref="AX27:AZ28" si="68">AL27+AP27+AT27</f>
        <v>6</v>
      </c>
      <c r="AY27" s="1564">
        <f t="shared" si="68"/>
        <v>0</v>
      </c>
      <c r="AZ27" s="1564">
        <f t="shared" si="68"/>
        <v>0</v>
      </c>
      <c r="BA27" s="1564">
        <f>AX27+AY27+AZ27</f>
        <v>6</v>
      </c>
      <c r="BB27" s="1564">
        <f t="shared" ref="BB27:BD28" si="69">AH27+AX27</f>
        <v>6</v>
      </c>
      <c r="BC27" s="1564">
        <f t="shared" si="69"/>
        <v>0</v>
      </c>
      <c r="BD27" s="1564">
        <f t="shared" si="69"/>
        <v>0</v>
      </c>
      <c r="BE27" s="1564">
        <f>BB27+BC27+BD27</f>
        <v>6</v>
      </c>
      <c r="BF27" s="1579">
        <v>15</v>
      </c>
      <c r="BG27" s="1579">
        <v>24</v>
      </c>
      <c r="BH27" s="1579"/>
      <c r="BI27" s="1568">
        <f>BF27+BG27</f>
        <v>39</v>
      </c>
      <c r="BJ27" s="1579"/>
      <c r="BK27" s="1579"/>
      <c r="BL27" s="1580"/>
      <c r="BM27" s="1568">
        <f>BJ27+BK27</f>
        <v>0</v>
      </c>
      <c r="BN27" s="1580">
        <v>56</v>
      </c>
      <c r="BO27" s="1580">
        <v>12.6</v>
      </c>
      <c r="BP27" s="1580"/>
      <c r="BQ27" s="1581">
        <f>BN27+BO27+BP27</f>
        <v>68.599999999999994</v>
      </c>
      <c r="BR27" s="1564">
        <f t="shared" ref="BR27:BT28" si="70">BF27+BJ27+BN27</f>
        <v>71</v>
      </c>
      <c r="BS27" s="1564">
        <f t="shared" si="70"/>
        <v>36.6</v>
      </c>
      <c r="BT27" s="1564">
        <f t="shared" si="70"/>
        <v>0</v>
      </c>
      <c r="BU27" s="1564">
        <f>BR27+BS27+BT27</f>
        <v>107.6</v>
      </c>
      <c r="BV27" s="1599">
        <f>BB27+BR27+20</f>
        <v>97</v>
      </c>
      <c r="BW27" s="1565">
        <v>0.18372410372410999</v>
      </c>
      <c r="BX27" s="1565">
        <f>BC27+BS27-BW27-20</f>
        <v>16.416275896275891</v>
      </c>
      <c r="BY27" s="1565">
        <f>BD27+BT27</f>
        <v>0</v>
      </c>
      <c r="BZ27" s="1565">
        <f>BV27+BX27+BY27+BW27</f>
        <v>113.60000000000001</v>
      </c>
      <c r="CA27" s="1566"/>
    </row>
    <row r="28" spans="1:79">
      <c r="A28" s="1569" t="s">
        <v>1478</v>
      </c>
      <c r="B28" s="1568"/>
      <c r="C28" s="1568"/>
      <c r="D28" s="1568"/>
      <c r="E28" s="1568">
        <f>B28+C28</f>
        <v>0</v>
      </c>
      <c r="F28" s="1568"/>
      <c r="G28" s="1568"/>
      <c r="H28" s="1568"/>
      <c r="I28" s="1568">
        <f>F28+G28</f>
        <v>0</v>
      </c>
      <c r="J28" s="1568">
        <v>2.6</v>
      </c>
      <c r="K28" s="1568">
        <v>5.2</v>
      </c>
      <c r="L28" s="1568"/>
      <c r="M28" s="1568">
        <f>J28+K28</f>
        <v>7.8000000000000007</v>
      </c>
      <c r="N28" s="1564">
        <f t="shared" si="65"/>
        <v>2.6</v>
      </c>
      <c r="O28" s="1564">
        <f t="shared" si="65"/>
        <v>5.2</v>
      </c>
      <c r="P28" s="1564">
        <f t="shared" si="65"/>
        <v>0</v>
      </c>
      <c r="Q28" s="1564">
        <f>N28+O28+P28</f>
        <v>7.8000000000000007</v>
      </c>
      <c r="R28" s="1568"/>
      <c r="S28" s="1568"/>
      <c r="T28" s="1568"/>
      <c r="U28" s="1568">
        <f>R28+S28</f>
        <v>0</v>
      </c>
      <c r="V28" s="1568">
        <v>6</v>
      </c>
      <c r="W28" s="1568">
        <v>4.4000000000000004</v>
      </c>
      <c r="X28" s="1568"/>
      <c r="Y28" s="1568">
        <f>V28+W28</f>
        <v>10.4</v>
      </c>
      <c r="Z28" s="1568"/>
      <c r="AA28" s="1568">
        <v>17.8</v>
      </c>
      <c r="AB28" s="1568"/>
      <c r="AC28" s="1568">
        <f>Z28+AA28</f>
        <v>17.8</v>
      </c>
      <c r="AD28" s="1564">
        <f t="shared" si="66"/>
        <v>6</v>
      </c>
      <c r="AE28" s="1564">
        <f t="shared" si="66"/>
        <v>22.200000000000003</v>
      </c>
      <c r="AF28" s="1564">
        <f t="shared" si="66"/>
        <v>0</v>
      </c>
      <c r="AG28" s="1564">
        <f>AD28+AE28+AF28</f>
        <v>28.200000000000003</v>
      </c>
      <c r="AH28" s="1564">
        <f t="shared" si="67"/>
        <v>8.6</v>
      </c>
      <c r="AI28" s="1564">
        <f t="shared" si="67"/>
        <v>27.400000000000002</v>
      </c>
      <c r="AJ28" s="1564">
        <f t="shared" si="67"/>
        <v>0</v>
      </c>
      <c r="AK28" s="1564">
        <f>AH28+AI28+AJ28</f>
        <v>36</v>
      </c>
      <c r="AL28" s="1579"/>
      <c r="AM28" s="1579">
        <v>5</v>
      </c>
      <c r="AN28" s="1579"/>
      <c r="AO28" s="1579">
        <f>AL28+AM28</f>
        <v>5</v>
      </c>
      <c r="AP28" s="1579"/>
      <c r="AQ28" s="1579"/>
      <c r="AR28" s="1579"/>
      <c r="AS28" s="1579">
        <f>AP28+AQ28</f>
        <v>0</v>
      </c>
      <c r="AT28" s="1579"/>
      <c r="AU28" s="1579"/>
      <c r="AV28" s="1579"/>
      <c r="AW28" s="1579">
        <f>AT28+AU28</f>
        <v>0</v>
      </c>
      <c r="AX28" s="1564">
        <f t="shared" si="68"/>
        <v>0</v>
      </c>
      <c r="AY28" s="1564">
        <f t="shared" si="68"/>
        <v>5</v>
      </c>
      <c r="AZ28" s="1564">
        <f t="shared" si="68"/>
        <v>0</v>
      </c>
      <c r="BA28" s="1564">
        <f>AX28+AY28+AZ28</f>
        <v>5</v>
      </c>
      <c r="BB28" s="1564">
        <f t="shared" si="69"/>
        <v>8.6</v>
      </c>
      <c r="BC28" s="1564">
        <f t="shared" si="69"/>
        <v>32.400000000000006</v>
      </c>
      <c r="BD28" s="1564">
        <f t="shared" si="69"/>
        <v>0</v>
      </c>
      <c r="BE28" s="1564">
        <f>BB28+BC28+BD28</f>
        <v>41.000000000000007</v>
      </c>
      <c r="BF28" s="1579">
        <v>5.5</v>
      </c>
      <c r="BG28" s="1579"/>
      <c r="BH28" s="1579"/>
      <c r="BI28" s="1568">
        <f>BF28+BG28</f>
        <v>5.5</v>
      </c>
      <c r="BJ28" s="1579">
        <v>10</v>
      </c>
      <c r="BK28" s="1579">
        <v>0.5</v>
      </c>
      <c r="BL28" s="1580"/>
      <c r="BM28" s="1568">
        <f>BJ28+BK28</f>
        <v>10.5</v>
      </c>
      <c r="BN28" s="1580">
        <v>5</v>
      </c>
      <c r="BO28" s="1580">
        <v>1</v>
      </c>
      <c r="BP28" s="1580"/>
      <c r="BQ28" s="1581">
        <f>BN28+BO28+BP28</f>
        <v>6</v>
      </c>
      <c r="BR28" s="1564">
        <f t="shared" si="70"/>
        <v>20.5</v>
      </c>
      <c r="BS28" s="1564">
        <f t="shared" si="70"/>
        <v>1.5</v>
      </c>
      <c r="BT28" s="1564">
        <f t="shared" si="70"/>
        <v>0</v>
      </c>
      <c r="BU28" s="1564">
        <f>BR28+BS28+BT28</f>
        <v>22</v>
      </c>
      <c r="BV28" s="1599">
        <f>BB28+BR28+18</f>
        <v>47.1</v>
      </c>
      <c r="BW28" s="1565">
        <v>6.9433395043787038E-2</v>
      </c>
      <c r="BX28" s="1565">
        <f>BC28+BS28-BW28-18</f>
        <v>15.830566604956218</v>
      </c>
      <c r="BY28" s="1565">
        <f>BD28+BT28</f>
        <v>0</v>
      </c>
      <c r="BZ28" s="1565">
        <f>BV28+BX28+BY28+BW28</f>
        <v>63.000000000000007</v>
      </c>
      <c r="CA28" s="1566"/>
    </row>
    <row r="30" spans="1:79">
      <c r="A30" s="1578" t="s">
        <v>1475</v>
      </c>
      <c r="B30" s="1568"/>
      <c r="C30" s="1568"/>
      <c r="D30" s="1568"/>
      <c r="E30" s="1568">
        <f t="shared" ref="E30:E36" si="71">B30+C30</f>
        <v>0</v>
      </c>
      <c r="F30" s="1568"/>
      <c r="G30" s="1568"/>
      <c r="H30" s="1568"/>
      <c r="I30" s="1568">
        <f t="shared" ref="I30:I36" si="72">F30+G30</f>
        <v>0</v>
      </c>
      <c r="J30" s="1568"/>
      <c r="K30" s="1568"/>
      <c r="L30" s="1568"/>
      <c r="M30" s="1568">
        <f t="shared" ref="M30:M36" si="73">J30+K30</f>
        <v>0</v>
      </c>
      <c r="N30" s="1564">
        <f t="shared" ref="N30:P36" si="74">B30+F30+J30</f>
        <v>0</v>
      </c>
      <c r="O30" s="1564">
        <f t="shared" si="74"/>
        <v>0</v>
      </c>
      <c r="P30" s="1564">
        <f t="shared" si="74"/>
        <v>0</v>
      </c>
      <c r="Q30" s="1564">
        <f t="shared" ref="Q30:Q36" si="75">N30+O30+P30</f>
        <v>0</v>
      </c>
      <c r="R30" s="1568"/>
      <c r="S30" s="1568"/>
      <c r="T30" s="1568"/>
      <c r="U30" s="1568">
        <f t="shared" ref="U30:U36" si="76">R30+S30</f>
        <v>0</v>
      </c>
      <c r="V30" s="1568"/>
      <c r="W30" s="1568"/>
      <c r="X30" s="1568"/>
      <c r="Y30" s="1568">
        <f t="shared" ref="Y30:Y36" si="77">V30+W30</f>
        <v>0</v>
      </c>
      <c r="Z30" s="1568">
        <v>5.3</v>
      </c>
      <c r="AA30" s="1568">
        <v>0.9</v>
      </c>
      <c r="AB30" s="1568"/>
      <c r="AC30" s="1568">
        <f t="shared" ref="AC30:AC36" si="78">Z30+AA30</f>
        <v>6.2</v>
      </c>
      <c r="AD30" s="1564">
        <f t="shared" ref="AD30:AF36" si="79">R30+V30+Z30</f>
        <v>5.3</v>
      </c>
      <c r="AE30" s="1564">
        <f t="shared" si="79"/>
        <v>0.9</v>
      </c>
      <c r="AF30" s="1564">
        <f t="shared" si="79"/>
        <v>0</v>
      </c>
      <c r="AG30" s="1564">
        <f t="shared" ref="AG30:AG36" si="80">AD30+AE30+AF30</f>
        <v>6.2</v>
      </c>
      <c r="AH30" s="1564">
        <f t="shared" ref="AH30:AJ36" si="81">N30+AD30</f>
        <v>5.3</v>
      </c>
      <c r="AI30" s="1564">
        <f t="shared" si="81"/>
        <v>0.9</v>
      </c>
      <c r="AJ30" s="1564">
        <f t="shared" si="81"/>
        <v>0</v>
      </c>
      <c r="AK30" s="1564">
        <f t="shared" ref="AK30:AK36" si="82">AH30+AI30+AJ30</f>
        <v>6.2</v>
      </c>
      <c r="AL30" s="1579"/>
      <c r="AM30" s="1579"/>
      <c r="AN30" s="1579"/>
      <c r="AO30" s="1579">
        <f t="shared" ref="AO30:AO36" si="83">AL30+AM30</f>
        <v>0</v>
      </c>
      <c r="AP30" s="1579"/>
      <c r="AQ30" s="1579"/>
      <c r="AR30" s="1579"/>
      <c r="AS30" s="1579">
        <f t="shared" ref="AS30:AS36" si="84">AP30+AQ30</f>
        <v>0</v>
      </c>
      <c r="AT30" s="1579">
        <v>4.9000000000000004</v>
      </c>
      <c r="AU30" s="1579">
        <v>1</v>
      </c>
      <c r="AV30" s="1579"/>
      <c r="AW30" s="1579">
        <f t="shared" ref="AW30:AW36" si="85">AT30+AU30</f>
        <v>5.9</v>
      </c>
      <c r="AX30" s="1564">
        <f t="shared" ref="AX30:AZ36" si="86">AL30+AP30+AT30</f>
        <v>4.9000000000000004</v>
      </c>
      <c r="AY30" s="1564">
        <f t="shared" si="86"/>
        <v>1</v>
      </c>
      <c r="AZ30" s="1564">
        <f t="shared" si="86"/>
        <v>0</v>
      </c>
      <c r="BA30" s="1564">
        <f t="shared" ref="BA30:BA36" si="87">AX30+AY30+AZ30</f>
        <v>5.9</v>
      </c>
      <c r="BB30" s="1564">
        <f t="shared" ref="BB30:BD36" si="88">AH30+AX30</f>
        <v>10.199999999999999</v>
      </c>
      <c r="BC30" s="1564">
        <f t="shared" si="88"/>
        <v>1.9</v>
      </c>
      <c r="BD30" s="1564">
        <f t="shared" si="88"/>
        <v>0</v>
      </c>
      <c r="BE30" s="1564">
        <f t="shared" ref="BE30:BE36" si="89">BB30+BC30+BD30</f>
        <v>12.1</v>
      </c>
      <c r="BF30" s="1579">
        <v>1.6</v>
      </c>
      <c r="BG30" s="1579"/>
      <c r="BH30" s="1579"/>
      <c r="BI30" s="1568">
        <f t="shared" ref="BI30:BI36" si="90">BF30+BG30</f>
        <v>1.6</v>
      </c>
      <c r="BJ30" s="1579"/>
      <c r="BK30" s="1579"/>
      <c r="BL30" s="1580"/>
      <c r="BM30" s="1568">
        <f t="shared" ref="BM30:BM36" si="91">BJ30+BK30</f>
        <v>0</v>
      </c>
      <c r="BN30" s="1580">
        <v>4</v>
      </c>
      <c r="BO30" s="1580">
        <v>0.3</v>
      </c>
      <c r="BP30" s="1580"/>
      <c r="BQ30" s="1581">
        <f t="shared" ref="BQ30:BQ37" si="92">BN30+BO30+BP30</f>
        <v>4.3</v>
      </c>
      <c r="BR30" s="1564">
        <f t="shared" ref="BR30:BT36" si="93">BF30+BJ30+BN30</f>
        <v>5.6</v>
      </c>
      <c r="BS30" s="1564">
        <f t="shared" si="93"/>
        <v>0.3</v>
      </c>
      <c r="BT30" s="1564">
        <f t="shared" si="93"/>
        <v>0</v>
      </c>
      <c r="BU30" s="1564">
        <f t="shared" ref="BU30:BU36" si="94">BR30+BS30+BT30</f>
        <v>5.8999999999999995</v>
      </c>
      <c r="BV30" s="1582">
        <f>BB30+BR30</f>
        <v>15.799999999999999</v>
      </c>
      <c r="BW30" s="1565">
        <v>3.7699231673258927E-2</v>
      </c>
      <c r="BX30" s="1565">
        <f>BC30+BS30-BW30</f>
        <v>2.162300768326741</v>
      </c>
      <c r="BY30" s="1565">
        <f t="shared" ref="BY30:BY36" si="95">BD30+BT30</f>
        <v>0</v>
      </c>
      <c r="BZ30" s="1565">
        <f t="shared" ref="BZ30:BZ37" si="96">BV30+BX30+BY30+BW30</f>
        <v>18</v>
      </c>
      <c r="CA30" s="1566"/>
    </row>
    <row r="31" spans="1:79">
      <c r="A31" s="1569" t="s">
        <v>1477</v>
      </c>
      <c r="B31" s="1568"/>
      <c r="C31" s="1568"/>
      <c r="D31" s="1568"/>
      <c r="E31" s="1568">
        <f t="shared" si="71"/>
        <v>0</v>
      </c>
      <c r="F31" s="1568"/>
      <c r="G31" s="1568"/>
      <c r="H31" s="1568"/>
      <c r="I31" s="1568">
        <f t="shared" si="72"/>
        <v>0</v>
      </c>
      <c r="J31" s="1568"/>
      <c r="K31" s="1568">
        <v>43.4</v>
      </c>
      <c r="L31" s="1568"/>
      <c r="M31" s="1568">
        <f t="shared" si="73"/>
        <v>43.4</v>
      </c>
      <c r="N31" s="1564">
        <f t="shared" si="74"/>
        <v>0</v>
      </c>
      <c r="O31" s="1564">
        <f t="shared" si="74"/>
        <v>43.4</v>
      </c>
      <c r="P31" s="1564">
        <f t="shared" si="74"/>
        <v>0</v>
      </c>
      <c r="Q31" s="1564">
        <f t="shared" si="75"/>
        <v>43.4</v>
      </c>
      <c r="R31" s="1568">
        <v>0.8</v>
      </c>
      <c r="S31" s="1568">
        <v>5.5</v>
      </c>
      <c r="T31" s="1568"/>
      <c r="U31" s="1568">
        <f t="shared" si="76"/>
        <v>6.3</v>
      </c>
      <c r="V31" s="1568">
        <v>5.4</v>
      </c>
      <c r="W31" s="1568">
        <v>4.8</v>
      </c>
      <c r="X31" s="1568"/>
      <c r="Y31" s="1568">
        <f t="shared" si="77"/>
        <v>10.199999999999999</v>
      </c>
      <c r="Z31" s="1568">
        <v>2.7</v>
      </c>
      <c r="AA31" s="1568">
        <v>3.6</v>
      </c>
      <c r="AB31" s="1568"/>
      <c r="AC31" s="1568">
        <f t="shared" si="78"/>
        <v>6.3000000000000007</v>
      </c>
      <c r="AD31" s="1564">
        <f t="shared" si="79"/>
        <v>8.9</v>
      </c>
      <c r="AE31" s="1564">
        <f t="shared" si="79"/>
        <v>13.9</v>
      </c>
      <c r="AF31" s="1564">
        <f t="shared" si="79"/>
        <v>0</v>
      </c>
      <c r="AG31" s="1564">
        <f t="shared" si="80"/>
        <v>22.8</v>
      </c>
      <c r="AH31" s="1564">
        <f t="shared" si="81"/>
        <v>8.9</v>
      </c>
      <c r="AI31" s="1564">
        <f t="shared" si="81"/>
        <v>57.3</v>
      </c>
      <c r="AJ31" s="1564">
        <f t="shared" si="81"/>
        <v>0</v>
      </c>
      <c r="AK31" s="1564">
        <f t="shared" si="82"/>
        <v>66.2</v>
      </c>
      <c r="AL31" s="1579">
        <v>13.5</v>
      </c>
      <c r="AM31" s="1579">
        <v>5</v>
      </c>
      <c r="AN31" s="1579"/>
      <c r="AO31" s="1579">
        <f t="shared" si="83"/>
        <v>18.5</v>
      </c>
      <c r="AP31" s="1579">
        <v>6.3</v>
      </c>
      <c r="AQ31" s="1579">
        <v>2.7</v>
      </c>
      <c r="AR31" s="1579"/>
      <c r="AS31" s="1579">
        <f t="shared" si="84"/>
        <v>9</v>
      </c>
      <c r="AT31" s="1579">
        <v>10.8</v>
      </c>
      <c r="AU31" s="1579">
        <v>2.8</v>
      </c>
      <c r="AV31" s="1579"/>
      <c r="AW31" s="1579">
        <f t="shared" si="85"/>
        <v>13.600000000000001</v>
      </c>
      <c r="AX31" s="1564">
        <f t="shared" si="86"/>
        <v>30.6</v>
      </c>
      <c r="AY31" s="1564">
        <f t="shared" si="86"/>
        <v>10.5</v>
      </c>
      <c r="AZ31" s="1564">
        <f t="shared" si="86"/>
        <v>0</v>
      </c>
      <c r="BA31" s="1564">
        <f t="shared" si="87"/>
        <v>41.1</v>
      </c>
      <c r="BB31" s="1564">
        <f t="shared" si="88"/>
        <v>39.5</v>
      </c>
      <c r="BC31" s="1564">
        <f t="shared" si="88"/>
        <v>67.8</v>
      </c>
      <c r="BD31" s="1564">
        <f t="shared" si="88"/>
        <v>0</v>
      </c>
      <c r="BE31" s="1564">
        <f t="shared" si="89"/>
        <v>107.3</v>
      </c>
      <c r="BF31" s="1579">
        <v>6.3</v>
      </c>
      <c r="BG31" s="1579">
        <v>2.7</v>
      </c>
      <c r="BH31" s="1579"/>
      <c r="BI31" s="1568">
        <f t="shared" si="90"/>
        <v>9</v>
      </c>
      <c r="BJ31" s="1579">
        <v>7.1</v>
      </c>
      <c r="BK31" s="1579">
        <v>3.9</v>
      </c>
      <c r="BL31" s="1580"/>
      <c r="BM31" s="1568">
        <f t="shared" si="91"/>
        <v>11</v>
      </c>
      <c r="BN31" s="1580">
        <v>19.399999999999999</v>
      </c>
      <c r="BO31" s="1580">
        <v>4</v>
      </c>
      <c r="BP31" s="1580"/>
      <c r="BQ31" s="1581">
        <f t="shared" si="92"/>
        <v>23.4</v>
      </c>
      <c r="BR31" s="1564">
        <f t="shared" si="93"/>
        <v>32.799999999999997</v>
      </c>
      <c r="BS31" s="1564">
        <f t="shared" si="93"/>
        <v>10.6</v>
      </c>
      <c r="BT31" s="1564">
        <f t="shared" si="93"/>
        <v>0</v>
      </c>
      <c r="BU31" s="1564">
        <f t="shared" si="94"/>
        <v>43.4</v>
      </c>
      <c r="BV31" s="1582">
        <f>BB31+BR31</f>
        <v>72.3</v>
      </c>
      <c r="BW31" s="1565"/>
      <c r="BX31" s="1565">
        <f>BC31+BS31-BW31</f>
        <v>78.399999999999991</v>
      </c>
      <c r="BY31" s="1565">
        <f t="shared" si="95"/>
        <v>0</v>
      </c>
      <c r="BZ31" s="1565">
        <f t="shared" si="96"/>
        <v>150.69999999999999</v>
      </c>
      <c r="CA31" s="1566"/>
    </row>
    <row r="32" spans="1:79">
      <c r="A32" s="1585" t="s">
        <v>1473</v>
      </c>
      <c r="B32" s="1568"/>
      <c r="C32" s="1568"/>
      <c r="D32" s="1568"/>
      <c r="E32" s="1568">
        <f t="shared" si="71"/>
        <v>0</v>
      </c>
      <c r="F32" s="1568"/>
      <c r="G32" s="1568"/>
      <c r="H32" s="1568"/>
      <c r="I32" s="1568">
        <f t="shared" si="72"/>
        <v>0</v>
      </c>
      <c r="J32" s="1568"/>
      <c r="K32" s="1568"/>
      <c r="L32" s="1568"/>
      <c r="M32" s="1568">
        <f t="shared" si="73"/>
        <v>0</v>
      </c>
      <c r="N32" s="1564">
        <f t="shared" si="74"/>
        <v>0</v>
      </c>
      <c r="O32" s="1564">
        <f t="shared" si="74"/>
        <v>0</v>
      </c>
      <c r="P32" s="1564">
        <f t="shared" si="74"/>
        <v>0</v>
      </c>
      <c r="Q32" s="1564">
        <f t="shared" si="75"/>
        <v>0</v>
      </c>
      <c r="R32" s="1568"/>
      <c r="S32" s="1568">
        <v>23</v>
      </c>
      <c r="T32" s="1568"/>
      <c r="U32" s="1568">
        <f t="shared" si="76"/>
        <v>23</v>
      </c>
      <c r="V32" s="1568"/>
      <c r="W32" s="1568"/>
      <c r="X32" s="1568"/>
      <c r="Y32" s="1568">
        <f t="shared" si="77"/>
        <v>0</v>
      </c>
      <c r="Z32" s="1568"/>
      <c r="AA32" s="1568"/>
      <c r="AB32" s="1568"/>
      <c r="AC32" s="1568">
        <f t="shared" si="78"/>
        <v>0</v>
      </c>
      <c r="AD32" s="1564">
        <f t="shared" si="79"/>
        <v>0</v>
      </c>
      <c r="AE32" s="1564">
        <f t="shared" si="79"/>
        <v>23</v>
      </c>
      <c r="AF32" s="1564">
        <f t="shared" si="79"/>
        <v>0</v>
      </c>
      <c r="AG32" s="1564">
        <f t="shared" si="80"/>
        <v>23</v>
      </c>
      <c r="AH32" s="1564">
        <f t="shared" si="81"/>
        <v>0</v>
      </c>
      <c r="AI32" s="1564">
        <f t="shared" si="81"/>
        <v>23</v>
      </c>
      <c r="AJ32" s="1564">
        <f t="shared" si="81"/>
        <v>0</v>
      </c>
      <c r="AK32" s="1564">
        <f t="shared" si="82"/>
        <v>23</v>
      </c>
      <c r="AL32" s="1579"/>
      <c r="AM32" s="1579"/>
      <c r="AN32" s="1579"/>
      <c r="AO32" s="1579">
        <f t="shared" si="83"/>
        <v>0</v>
      </c>
      <c r="AP32" s="1579"/>
      <c r="AQ32" s="1579"/>
      <c r="AR32" s="1579"/>
      <c r="AS32" s="1579">
        <f t="shared" si="84"/>
        <v>0</v>
      </c>
      <c r="AT32" s="1579"/>
      <c r="AU32" s="1579"/>
      <c r="AV32" s="1579"/>
      <c r="AW32" s="1579">
        <f t="shared" si="85"/>
        <v>0</v>
      </c>
      <c r="AX32" s="1564">
        <f t="shared" si="86"/>
        <v>0</v>
      </c>
      <c r="AY32" s="1564">
        <f t="shared" si="86"/>
        <v>0</v>
      </c>
      <c r="AZ32" s="1564">
        <f t="shared" si="86"/>
        <v>0</v>
      </c>
      <c r="BA32" s="1564">
        <f t="shared" si="87"/>
        <v>0</v>
      </c>
      <c r="BB32" s="1564">
        <f t="shared" si="88"/>
        <v>0</v>
      </c>
      <c r="BC32" s="1564">
        <f t="shared" si="88"/>
        <v>23</v>
      </c>
      <c r="BD32" s="1564">
        <f t="shared" si="88"/>
        <v>0</v>
      </c>
      <c r="BE32" s="1564">
        <f t="shared" si="89"/>
        <v>23</v>
      </c>
      <c r="BF32" s="1579"/>
      <c r="BG32" s="1579"/>
      <c r="BH32" s="1579"/>
      <c r="BI32" s="1568">
        <f t="shared" si="90"/>
        <v>0</v>
      </c>
      <c r="BJ32" s="1579"/>
      <c r="BK32" s="1579"/>
      <c r="BL32" s="1580"/>
      <c r="BM32" s="1568">
        <f t="shared" si="91"/>
        <v>0</v>
      </c>
      <c r="BN32" s="1580">
        <v>9.1999999999999993</v>
      </c>
      <c r="BO32" s="1580"/>
      <c r="BP32" s="1580"/>
      <c r="BQ32" s="1581">
        <f t="shared" si="92"/>
        <v>9.1999999999999993</v>
      </c>
      <c r="BR32" s="1564">
        <f t="shared" si="93"/>
        <v>9.1999999999999993</v>
      </c>
      <c r="BS32" s="1564">
        <f t="shared" si="93"/>
        <v>0</v>
      </c>
      <c r="BT32" s="1564">
        <f t="shared" si="93"/>
        <v>0</v>
      </c>
      <c r="BU32" s="1564">
        <f t="shared" si="94"/>
        <v>9.1999999999999993</v>
      </c>
      <c r="BV32" s="1582">
        <f>BB32+BR32</f>
        <v>9.1999999999999993</v>
      </c>
      <c r="BW32" s="1565"/>
      <c r="BX32" s="1565">
        <f>BC32+BS32-BW32</f>
        <v>23</v>
      </c>
      <c r="BY32" s="1565">
        <f t="shared" si="95"/>
        <v>0</v>
      </c>
      <c r="BZ32" s="1565">
        <f t="shared" si="96"/>
        <v>32.200000000000003</v>
      </c>
      <c r="CA32" s="1566"/>
    </row>
    <row r="33" spans="1:84">
      <c r="A33" s="1585" t="s">
        <v>1474</v>
      </c>
      <c r="B33" s="1568"/>
      <c r="C33" s="1568"/>
      <c r="D33" s="1568"/>
      <c r="E33" s="1568">
        <f t="shared" si="71"/>
        <v>0</v>
      </c>
      <c r="F33" s="1568"/>
      <c r="G33" s="1568"/>
      <c r="H33" s="1568"/>
      <c r="I33" s="1568">
        <f t="shared" si="72"/>
        <v>0</v>
      </c>
      <c r="J33" s="1568"/>
      <c r="K33" s="1568"/>
      <c r="L33" s="1568"/>
      <c r="M33" s="1568">
        <f t="shared" si="73"/>
        <v>0</v>
      </c>
      <c r="N33" s="1564">
        <f t="shared" si="74"/>
        <v>0</v>
      </c>
      <c r="O33" s="1564">
        <f t="shared" si="74"/>
        <v>0</v>
      </c>
      <c r="P33" s="1564">
        <f t="shared" si="74"/>
        <v>0</v>
      </c>
      <c r="Q33" s="1564">
        <f t="shared" si="75"/>
        <v>0</v>
      </c>
      <c r="R33" s="1568"/>
      <c r="S33" s="1568">
        <v>6.2</v>
      </c>
      <c r="T33" s="1568"/>
      <c r="U33" s="1568">
        <f t="shared" si="76"/>
        <v>6.2</v>
      </c>
      <c r="V33" s="1568"/>
      <c r="W33" s="1568"/>
      <c r="X33" s="1568"/>
      <c r="Y33" s="1568">
        <f t="shared" si="77"/>
        <v>0</v>
      </c>
      <c r="Z33" s="1568"/>
      <c r="AA33" s="1568"/>
      <c r="AB33" s="1568"/>
      <c r="AC33" s="1568">
        <f t="shared" si="78"/>
        <v>0</v>
      </c>
      <c r="AD33" s="1564">
        <f t="shared" si="79"/>
        <v>0</v>
      </c>
      <c r="AE33" s="1564">
        <f t="shared" si="79"/>
        <v>6.2</v>
      </c>
      <c r="AF33" s="1564">
        <f t="shared" si="79"/>
        <v>0</v>
      </c>
      <c r="AG33" s="1564">
        <f t="shared" si="80"/>
        <v>6.2</v>
      </c>
      <c r="AH33" s="1564">
        <f t="shared" si="81"/>
        <v>0</v>
      </c>
      <c r="AI33" s="1564">
        <f t="shared" si="81"/>
        <v>6.2</v>
      </c>
      <c r="AJ33" s="1564">
        <f t="shared" si="81"/>
        <v>0</v>
      </c>
      <c r="AK33" s="1564">
        <f t="shared" si="82"/>
        <v>6.2</v>
      </c>
      <c r="AL33" s="1579"/>
      <c r="AM33" s="1579"/>
      <c r="AN33" s="1579"/>
      <c r="AO33" s="1579">
        <f t="shared" si="83"/>
        <v>0</v>
      </c>
      <c r="AP33" s="1579"/>
      <c r="AQ33" s="1579"/>
      <c r="AR33" s="1579"/>
      <c r="AS33" s="1579">
        <f t="shared" si="84"/>
        <v>0</v>
      </c>
      <c r="AT33" s="1579"/>
      <c r="AU33" s="1579"/>
      <c r="AV33" s="1579"/>
      <c r="AW33" s="1579">
        <f t="shared" si="85"/>
        <v>0</v>
      </c>
      <c r="AX33" s="1564">
        <f t="shared" si="86"/>
        <v>0</v>
      </c>
      <c r="AY33" s="1564">
        <f t="shared" si="86"/>
        <v>0</v>
      </c>
      <c r="AZ33" s="1564">
        <f t="shared" si="86"/>
        <v>0</v>
      </c>
      <c r="BA33" s="1564">
        <f t="shared" si="87"/>
        <v>0</v>
      </c>
      <c r="BB33" s="1564">
        <f t="shared" si="88"/>
        <v>0</v>
      </c>
      <c r="BC33" s="1564">
        <f t="shared" si="88"/>
        <v>6.2</v>
      </c>
      <c r="BD33" s="1564">
        <f t="shared" si="88"/>
        <v>0</v>
      </c>
      <c r="BE33" s="1564">
        <f t="shared" si="89"/>
        <v>6.2</v>
      </c>
      <c r="BF33" s="1579"/>
      <c r="BG33" s="1579"/>
      <c r="BH33" s="1579"/>
      <c r="BI33" s="1568">
        <f t="shared" si="90"/>
        <v>0</v>
      </c>
      <c r="BJ33" s="1579"/>
      <c r="BK33" s="1579"/>
      <c r="BL33" s="1580"/>
      <c r="BM33" s="1568">
        <f t="shared" si="91"/>
        <v>0</v>
      </c>
      <c r="BN33" s="1580">
        <v>2.5</v>
      </c>
      <c r="BO33" s="1580"/>
      <c r="BP33" s="1580"/>
      <c r="BQ33" s="1581">
        <f t="shared" si="92"/>
        <v>2.5</v>
      </c>
      <c r="BR33" s="1564">
        <f t="shared" si="93"/>
        <v>2.5</v>
      </c>
      <c r="BS33" s="1564">
        <f t="shared" si="93"/>
        <v>0</v>
      </c>
      <c r="BT33" s="1564">
        <f t="shared" si="93"/>
        <v>0</v>
      </c>
      <c r="BU33" s="1564">
        <f t="shared" si="94"/>
        <v>2.5</v>
      </c>
      <c r="BV33" s="1582">
        <f>BB33+BR33</f>
        <v>2.5</v>
      </c>
      <c r="BW33" s="1565"/>
      <c r="BX33" s="1565">
        <f>BC33+BS33-BW33</f>
        <v>6.2</v>
      </c>
      <c r="BY33" s="1565">
        <f t="shared" si="95"/>
        <v>0</v>
      </c>
      <c r="BZ33" s="1565">
        <f t="shared" si="96"/>
        <v>8.6999999999999993</v>
      </c>
      <c r="CA33" s="1566"/>
    </row>
    <row r="34" spans="1:84">
      <c r="A34" s="1578" t="s">
        <v>1476</v>
      </c>
      <c r="B34" s="1568"/>
      <c r="C34" s="1568">
        <v>3.6</v>
      </c>
      <c r="D34" s="1568"/>
      <c r="E34" s="1568">
        <f t="shared" si="71"/>
        <v>3.6</v>
      </c>
      <c r="F34" s="1568"/>
      <c r="G34" s="1568">
        <v>2.7</v>
      </c>
      <c r="H34" s="1568"/>
      <c r="I34" s="1568">
        <f t="shared" si="72"/>
        <v>2.7</v>
      </c>
      <c r="J34" s="1568"/>
      <c r="K34" s="1568">
        <v>5.3</v>
      </c>
      <c r="L34" s="1568"/>
      <c r="M34" s="1568">
        <f t="shared" si="73"/>
        <v>5.3</v>
      </c>
      <c r="N34" s="1564">
        <f t="shared" si="74"/>
        <v>0</v>
      </c>
      <c r="O34" s="1564">
        <f t="shared" si="74"/>
        <v>11.600000000000001</v>
      </c>
      <c r="P34" s="1564">
        <f t="shared" si="74"/>
        <v>0</v>
      </c>
      <c r="Q34" s="1564">
        <f t="shared" si="75"/>
        <v>11.600000000000001</v>
      </c>
      <c r="R34" s="1568"/>
      <c r="S34" s="1568">
        <v>4.2</v>
      </c>
      <c r="T34" s="1568"/>
      <c r="U34" s="1568">
        <f t="shared" si="76"/>
        <v>4.2</v>
      </c>
      <c r="V34" s="1568"/>
      <c r="W34" s="1568">
        <v>9.1999999999999993</v>
      </c>
      <c r="X34" s="1568"/>
      <c r="Y34" s="1568">
        <f t="shared" si="77"/>
        <v>9.1999999999999993</v>
      </c>
      <c r="Z34" s="1568"/>
      <c r="AA34" s="1568">
        <v>4.3</v>
      </c>
      <c r="AB34" s="1568"/>
      <c r="AC34" s="1568">
        <f t="shared" si="78"/>
        <v>4.3</v>
      </c>
      <c r="AD34" s="1564">
        <f t="shared" si="79"/>
        <v>0</v>
      </c>
      <c r="AE34" s="1564">
        <f t="shared" si="79"/>
        <v>17.7</v>
      </c>
      <c r="AF34" s="1564">
        <f t="shared" si="79"/>
        <v>0</v>
      </c>
      <c r="AG34" s="1564">
        <f t="shared" si="80"/>
        <v>17.7</v>
      </c>
      <c r="AH34" s="1564">
        <f t="shared" si="81"/>
        <v>0</v>
      </c>
      <c r="AI34" s="1564">
        <f t="shared" si="81"/>
        <v>29.3</v>
      </c>
      <c r="AJ34" s="1564">
        <f t="shared" si="81"/>
        <v>0</v>
      </c>
      <c r="AK34" s="1564">
        <f t="shared" si="82"/>
        <v>29.3</v>
      </c>
      <c r="AL34" s="1579"/>
      <c r="AM34" s="1579">
        <v>4.5999999999999996</v>
      </c>
      <c r="AN34" s="1579"/>
      <c r="AO34" s="1579">
        <f t="shared" si="83"/>
        <v>4.5999999999999996</v>
      </c>
      <c r="AP34" s="1579"/>
      <c r="AQ34" s="1579">
        <v>7.6</v>
      </c>
      <c r="AR34" s="1579"/>
      <c r="AS34" s="1579">
        <f t="shared" si="84"/>
        <v>7.6</v>
      </c>
      <c r="AT34" s="1579"/>
      <c r="AU34" s="1579">
        <v>4.2</v>
      </c>
      <c r="AV34" s="1579"/>
      <c r="AW34" s="1579">
        <f t="shared" si="85"/>
        <v>4.2</v>
      </c>
      <c r="AX34" s="1564">
        <f t="shared" si="86"/>
        <v>0</v>
      </c>
      <c r="AY34" s="1564">
        <f t="shared" si="86"/>
        <v>16.399999999999999</v>
      </c>
      <c r="AZ34" s="1564">
        <f t="shared" si="86"/>
        <v>0</v>
      </c>
      <c r="BA34" s="1564">
        <f t="shared" si="87"/>
        <v>16.399999999999999</v>
      </c>
      <c r="BB34" s="1564">
        <f t="shared" si="88"/>
        <v>0</v>
      </c>
      <c r="BC34" s="1564">
        <f t="shared" si="88"/>
        <v>45.7</v>
      </c>
      <c r="BD34" s="1564">
        <f t="shared" si="88"/>
        <v>0</v>
      </c>
      <c r="BE34" s="1564">
        <f t="shared" si="89"/>
        <v>45.7</v>
      </c>
      <c r="BF34" s="1579">
        <v>2.4</v>
      </c>
      <c r="BG34" s="1579"/>
      <c r="BH34" s="1579"/>
      <c r="BI34" s="1568">
        <f t="shared" si="90"/>
        <v>2.4</v>
      </c>
      <c r="BJ34" s="1579">
        <v>9.6999999999999993</v>
      </c>
      <c r="BK34" s="1579">
        <v>3.3</v>
      </c>
      <c r="BL34" s="1580"/>
      <c r="BM34" s="1568">
        <f t="shared" si="91"/>
        <v>13</v>
      </c>
      <c r="BN34" s="1580">
        <v>7.7</v>
      </c>
      <c r="BO34" s="1580">
        <v>0.5</v>
      </c>
      <c r="BP34" s="1580"/>
      <c r="BQ34" s="1581">
        <f t="shared" si="92"/>
        <v>8.1999999999999993</v>
      </c>
      <c r="BR34" s="1564">
        <f t="shared" si="93"/>
        <v>19.8</v>
      </c>
      <c r="BS34" s="1564">
        <f t="shared" si="93"/>
        <v>3.8</v>
      </c>
      <c r="BT34" s="1564">
        <f t="shared" si="93"/>
        <v>0</v>
      </c>
      <c r="BU34" s="1564">
        <f t="shared" si="94"/>
        <v>23.6</v>
      </c>
      <c r="BV34" s="1582">
        <f t="shared" ref="BV34" si="97">BB34+BR34</f>
        <v>19.8</v>
      </c>
      <c r="BW34" s="1565">
        <v>4.7243340957628284E-2</v>
      </c>
      <c r="BX34" s="1565">
        <f t="shared" ref="BX34" si="98">BC34+BS34-BW34</f>
        <v>49.452756659042372</v>
      </c>
      <c r="BY34" s="1565">
        <f t="shared" si="95"/>
        <v>0</v>
      </c>
      <c r="BZ34" s="1565">
        <f t="shared" si="96"/>
        <v>69.300000000000011</v>
      </c>
      <c r="CA34" s="1566"/>
    </row>
    <row r="35" spans="1:84">
      <c r="A35" s="1569" t="s">
        <v>1481</v>
      </c>
      <c r="B35" s="1568"/>
      <c r="C35" s="1568"/>
      <c r="D35" s="1568"/>
      <c r="E35" s="1568">
        <f t="shared" si="71"/>
        <v>0</v>
      </c>
      <c r="F35" s="1568"/>
      <c r="G35" s="1568"/>
      <c r="H35" s="1568"/>
      <c r="I35" s="1568">
        <f t="shared" si="72"/>
        <v>0</v>
      </c>
      <c r="J35" s="1568"/>
      <c r="K35" s="1568"/>
      <c r="L35" s="1568"/>
      <c r="M35" s="1568">
        <f t="shared" si="73"/>
        <v>0</v>
      </c>
      <c r="N35" s="1564">
        <f t="shared" si="74"/>
        <v>0</v>
      </c>
      <c r="O35" s="1564">
        <f t="shared" si="74"/>
        <v>0</v>
      </c>
      <c r="P35" s="1564">
        <f t="shared" si="74"/>
        <v>0</v>
      </c>
      <c r="Q35" s="1564">
        <f t="shared" si="75"/>
        <v>0</v>
      </c>
      <c r="R35" s="1568"/>
      <c r="S35" s="1568"/>
      <c r="T35" s="1568"/>
      <c r="U35" s="1568">
        <f t="shared" si="76"/>
        <v>0</v>
      </c>
      <c r="V35" s="1568"/>
      <c r="W35" s="1568"/>
      <c r="X35" s="1568"/>
      <c r="Y35" s="1568">
        <f t="shared" si="77"/>
        <v>0</v>
      </c>
      <c r="Z35" s="1568"/>
      <c r="AA35" s="1568"/>
      <c r="AB35" s="1568"/>
      <c r="AC35" s="1568">
        <f t="shared" si="78"/>
        <v>0</v>
      </c>
      <c r="AD35" s="1564">
        <f t="shared" si="79"/>
        <v>0</v>
      </c>
      <c r="AE35" s="1564">
        <f t="shared" si="79"/>
        <v>0</v>
      </c>
      <c r="AF35" s="1564">
        <f t="shared" si="79"/>
        <v>0</v>
      </c>
      <c r="AG35" s="1564">
        <f t="shared" si="80"/>
        <v>0</v>
      </c>
      <c r="AH35" s="1564">
        <f t="shared" si="81"/>
        <v>0</v>
      </c>
      <c r="AI35" s="1564">
        <f t="shared" si="81"/>
        <v>0</v>
      </c>
      <c r="AJ35" s="1564">
        <f t="shared" si="81"/>
        <v>0</v>
      </c>
      <c r="AK35" s="1564">
        <f t="shared" si="82"/>
        <v>0</v>
      </c>
      <c r="AL35" s="1579"/>
      <c r="AM35" s="1579"/>
      <c r="AN35" s="1579"/>
      <c r="AO35" s="1579">
        <f t="shared" si="83"/>
        <v>0</v>
      </c>
      <c r="AP35" s="1579"/>
      <c r="AQ35" s="1579"/>
      <c r="AR35" s="1579"/>
      <c r="AS35" s="1579">
        <f t="shared" si="84"/>
        <v>0</v>
      </c>
      <c r="AT35" s="1579"/>
      <c r="AU35" s="1579"/>
      <c r="AV35" s="1579"/>
      <c r="AW35" s="1579">
        <f t="shared" si="85"/>
        <v>0</v>
      </c>
      <c r="AX35" s="1564">
        <f t="shared" si="86"/>
        <v>0</v>
      </c>
      <c r="AY35" s="1564">
        <f t="shared" si="86"/>
        <v>0</v>
      </c>
      <c r="AZ35" s="1564">
        <f t="shared" si="86"/>
        <v>0</v>
      </c>
      <c r="BA35" s="1564">
        <f t="shared" si="87"/>
        <v>0</v>
      </c>
      <c r="BB35" s="1564">
        <f t="shared" si="88"/>
        <v>0</v>
      </c>
      <c r="BC35" s="1564">
        <f t="shared" si="88"/>
        <v>0</v>
      </c>
      <c r="BD35" s="1564">
        <f t="shared" si="88"/>
        <v>0</v>
      </c>
      <c r="BE35" s="1564">
        <f t="shared" si="89"/>
        <v>0</v>
      </c>
      <c r="BF35" s="1579"/>
      <c r="BG35" s="1579"/>
      <c r="BH35" s="1579"/>
      <c r="BI35" s="1568">
        <f t="shared" si="90"/>
        <v>0</v>
      </c>
      <c r="BJ35" s="1580"/>
      <c r="BK35" s="1580"/>
      <c r="BL35" s="1580"/>
      <c r="BM35" s="1568">
        <f t="shared" si="91"/>
        <v>0</v>
      </c>
      <c r="BN35" s="1580"/>
      <c r="BO35" s="1580"/>
      <c r="BP35" s="1580"/>
      <c r="BQ35" s="1581">
        <f t="shared" si="92"/>
        <v>0</v>
      </c>
      <c r="BR35" s="1564">
        <f t="shared" si="93"/>
        <v>0</v>
      </c>
      <c r="BS35" s="1564">
        <f t="shared" si="93"/>
        <v>0</v>
      </c>
      <c r="BT35" s="1564">
        <f t="shared" si="93"/>
        <v>0</v>
      </c>
      <c r="BU35" s="1564">
        <f t="shared" si="94"/>
        <v>0</v>
      </c>
      <c r="BV35" s="1565">
        <f>BB35+BR35</f>
        <v>0</v>
      </c>
      <c r="BW35" s="1565"/>
      <c r="BX35" s="1565">
        <f>BC35+BS35-BW35</f>
        <v>0</v>
      </c>
      <c r="BY35" s="1565">
        <f t="shared" si="95"/>
        <v>0</v>
      </c>
      <c r="BZ35" s="1565">
        <f t="shared" si="96"/>
        <v>0</v>
      </c>
      <c r="CA35" s="1566"/>
    </row>
    <row r="36" spans="1:84">
      <c r="A36" s="1569" t="s">
        <v>1482</v>
      </c>
      <c r="B36" s="1568">
        <v>29.4</v>
      </c>
      <c r="C36" s="1568">
        <v>10</v>
      </c>
      <c r="D36" s="1568"/>
      <c r="E36" s="1568">
        <f t="shared" si="71"/>
        <v>39.4</v>
      </c>
      <c r="F36" s="1568">
        <v>3</v>
      </c>
      <c r="G36" s="1568"/>
      <c r="H36" s="1568"/>
      <c r="I36" s="1568">
        <f t="shared" si="72"/>
        <v>3</v>
      </c>
      <c r="J36" s="1568"/>
      <c r="K36" s="1568"/>
      <c r="L36" s="1568"/>
      <c r="M36" s="1568">
        <f t="shared" si="73"/>
        <v>0</v>
      </c>
      <c r="N36" s="1564">
        <f t="shared" si="74"/>
        <v>32.4</v>
      </c>
      <c r="O36" s="1564">
        <f t="shared" si="74"/>
        <v>10</v>
      </c>
      <c r="P36" s="1564">
        <f t="shared" si="74"/>
        <v>0</v>
      </c>
      <c r="Q36" s="1564">
        <f t="shared" si="75"/>
        <v>42.4</v>
      </c>
      <c r="R36" s="1568"/>
      <c r="S36" s="1568"/>
      <c r="T36" s="1568"/>
      <c r="U36" s="1568">
        <f t="shared" si="76"/>
        <v>0</v>
      </c>
      <c r="V36" s="1568"/>
      <c r="W36" s="1568">
        <v>5</v>
      </c>
      <c r="X36" s="1568"/>
      <c r="Y36" s="1568">
        <f t="shared" si="77"/>
        <v>5</v>
      </c>
      <c r="Z36" s="1568"/>
      <c r="AA36" s="1568"/>
      <c r="AB36" s="1568"/>
      <c r="AC36" s="1568">
        <f t="shared" si="78"/>
        <v>0</v>
      </c>
      <c r="AD36" s="1564">
        <f t="shared" si="79"/>
        <v>0</v>
      </c>
      <c r="AE36" s="1564">
        <f t="shared" si="79"/>
        <v>5</v>
      </c>
      <c r="AF36" s="1564">
        <f t="shared" si="79"/>
        <v>0</v>
      </c>
      <c r="AG36" s="1564">
        <f t="shared" si="80"/>
        <v>5</v>
      </c>
      <c r="AH36" s="1564">
        <f t="shared" si="81"/>
        <v>32.4</v>
      </c>
      <c r="AI36" s="1564">
        <f t="shared" si="81"/>
        <v>15</v>
      </c>
      <c r="AJ36" s="1564">
        <f t="shared" si="81"/>
        <v>0</v>
      </c>
      <c r="AK36" s="1564">
        <f t="shared" si="82"/>
        <v>47.4</v>
      </c>
      <c r="AL36" s="1579"/>
      <c r="AM36" s="1579">
        <v>5</v>
      </c>
      <c r="AN36" s="1579"/>
      <c r="AO36" s="1579">
        <f t="shared" si="83"/>
        <v>5</v>
      </c>
      <c r="AP36" s="1579"/>
      <c r="AQ36" s="1579"/>
      <c r="AR36" s="1579"/>
      <c r="AS36" s="1579">
        <f t="shared" si="84"/>
        <v>0</v>
      </c>
      <c r="AT36" s="1579"/>
      <c r="AU36" s="1579"/>
      <c r="AV36" s="1579"/>
      <c r="AW36" s="1579">
        <f t="shared" si="85"/>
        <v>0</v>
      </c>
      <c r="AX36" s="1564">
        <f t="shared" si="86"/>
        <v>0</v>
      </c>
      <c r="AY36" s="1564">
        <f t="shared" si="86"/>
        <v>5</v>
      </c>
      <c r="AZ36" s="1564">
        <f t="shared" si="86"/>
        <v>0</v>
      </c>
      <c r="BA36" s="1564">
        <f t="shared" si="87"/>
        <v>5</v>
      </c>
      <c r="BB36" s="1564">
        <f t="shared" si="88"/>
        <v>32.4</v>
      </c>
      <c r="BC36" s="1564">
        <f t="shared" si="88"/>
        <v>20</v>
      </c>
      <c r="BD36" s="1564">
        <f t="shared" si="88"/>
        <v>0</v>
      </c>
      <c r="BE36" s="1564">
        <f t="shared" si="89"/>
        <v>52.4</v>
      </c>
      <c r="BF36" s="1579">
        <v>28.7</v>
      </c>
      <c r="BG36" s="1579"/>
      <c r="BH36" s="1579"/>
      <c r="BI36" s="1568">
        <f t="shared" si="90"/>
        <v>28.7</v>
      </c>
      <c r="BJ36" s="1580"/>
      <c r="BK36" s="1580"/>
      <c r="BL36" s="1580"/>
      <c r="BM36" s="1568">
        <f t="shared" si="91"/>
        <v>0</v>
      </c>
      <c r="BN36" s="1580"/>
      <c r="BO36" s="1580">
        <v>27.3</v>
      </c>
      <c r="BP36" s="1580"/>
      <c r="BQ36" s="1581">
        <f t="shared" si="92"/>
        <v>27.3</v>
      </c>
      <c r="BR36" s="1564">
        <f t="shared" si="93"/>
        <v>28.7</v>
      </c>
      <c r="BS36" s="1564">
        <f t="shared" si="93"/>
        <v>27.3</v>
      </c>
      <c r="BT36" s="1564">
        <f t="shared" si="93"/>
        <v>0</v>
      </c>
      <c r="BU36" s="1564">
        <f t="shared" si="94"/>
        <v>56</v>
      </c>
      <c r="BV36" s="1582">
        <f>BB36+BR36</f>
        <v>61.099999999999994</v>
      </c>
      <c r="BW36" s="1565">
        <v>0.14578626931874181</v>
      </c>
      <c r="BX36" s="1565">
        <f>BC36+BS36-BW36</f>
        <v>47.154213730681256</v>
      </c>
      <c r="BY36" s="1565">
        <f t="shared" si="95"/>
        <v>0</v>
      </c>
      <c r="BZ36" s="1565">
        <f t="shared" si="96"/>
        <v>108.39999999999999</v>
      </c>
      <c r="CA36" s="1566"/>
    </row>
    <row r="37" spans="1:84">
      <c r="A37" s="1569" t="s">
        <v>1483</v>
      </c>
      <c r="B37" s="1568"/>
      <c r="C37" s="1568"/>
      <c r="D37" s="1568"/>
      <c r="E37" s="1568"/>
      <c r="F37" s="1568"/>
      <c r="G37" s="1568"/>
      <c r="H37" s="1568"/>
      <c r="I37" s="1568"/>
      <c r="J37" s="1568"/>
      <c r="K37" s="1568"/>
      <c r="L37" s="1568"/>
      <c r="M37" s="1568"/>
      <c r="N37" s="1564"/>
      <c r="O37" s="1564"/>
      <c r="P37" s="1564"/>
      <c r="Q37" s="1564"/>
      <c r="R37" s="1568"/>
      <c r="S37" s="1568"/>
      <c r="T37" s="1568"/>
      <c r="U37" s="1568"/>
      <c r="V37" s="1568"/>
      <c r="W37" s="1568"/>
      <c r="X37" s="1568"/>
      <c r="Y37" s="1568"/>
      <c r="Z37" s="1568"/>
      <c r="AA37" s="1568"/>
      <c r="AB37" s="1568"/>
      <c r="AC37" s="1568"/>
      <c r="AD37" s="1564"/>
      <c r="AE37" s="1564"/>
      <c r="AF37" s="1564"/>
      <c r="AG37" s="1564"/>
      <c r="AH37" s="1564"/>
      <c r="AI37" s="1564"/>
      <c r="AJ37" s="1564"/>
      <c r="AK37" s="1564"/>
      <c r="AL37" s="1579"/>
      <c r="AM37" s="1579"/>
      <c r="AN37" s="1579"/>
      <c r="AO37" s="1579"/>
      <c r="AP37" s="1579"/>
      <c r="AQ37" s="1579"/>
      <c r="AR37" s="1579"/>
      <c r="AS37" s="1579"/>
      <c r="AT37" s="1579"/>
      <c r="AU37" s="1579"/>
      <c r="AV37" s="1579"/>
      <c r="AW37" s="1579"/>
      <c r="AX37" s="1564"/>
      <c r="AY37" s="1564"/>
      <c r="AZ37" s="1564"/>
      <c r="BA37" s="1564"/>
      <c r="BB37" s="1564"/>
      <c r="BC37" s="1564"/>
      <c r="BD37" s="1564"/>
      <c r="BE37" s="1564"/>
      <c r="BF37" s="1579"/>
      <c r="BG37" s="1579"/>
      <c r="BH37" s="1579"/>
      <c r="BI37" s="1568"/>
      <c r="BJ37" s="1580"/>
      <c r="BK37" s="1580"/>
      <c r="BL37" s="1580"/>
      <c r="BM37" s="1568"/>
      <c r="BN37" s="1580">
        <v>28.4</v>
      </c>
      <c r="BO37" s="1580">
        <v>204.5</v>
      </c>
      <c r="BP37" s="1580"/>
      <c r="BQ37" s="1581">
        <f t="shared" si="92"/>
        <v>232.9</v>
      </c>
      <c r="BR37" s="1564">
        <f t="shared" ref="BR37:BT37" si="99">BF37+BJ37+BN37</f>
        <v>28.4</v>
      </c>
      <c r="BS37" s="1564">
        <f t="shared" si="99"/>
        <v>204.5</v>
      </c>
      <c r="BT37" s="1564">
        <f t="shared" si="99"/>
        <v>0</v>
      </c>
      <c r="BU37" s="1564">
        <f t="shared" ref="BU37" si="100">BR37+BS37+BT37</f>
        <v>232.9</v>
      </c>
      <c r="BV37" s="1582">
        <f t="shared" ref="BV37" si="101">BB37+BR37</f>
        <v>28.4</v>
      </c>
      <c r="BW37" s="1565">
        <v>6.7763175919022395E-2</v>
      </c>
      <c r="BX37" s="1565">
        <f>BC37+BS37-BW37</f>
        <v>204.43223682408097</v>
      </c>
      <c r="BY37" s="1565">
        <f t="shared" ref="BY37" si="102">BD37+BT37</f>
        <v>0</v>
      </c>
      <c r="BZ37" s="1565">
        <f t="shared" si="96"/>
        <v>232.9</v>
      </c>
    </row>
    <row r="38" spans="1:84" ht="31.5">
      <c r="A38" s="1576" t="s">
        <v>1513</v>
      </c>
      <c r="BV38" s="1586">
        <f>SUM(BV39:BV44)</f>
        <v>8237.9105</v>
      </c>
      <c r="BW38" s="1586">
        <f t="shared" ref="BW38:BZ38" si="103">SUM(BW39:BW44)</f>
        <v>7.5716850495238406</v>
      </c>
      <c r="BX38" s="1586">
        <f t="shared" si="103"/>
        <v>1266.26948058729</v>
      </c>
      <c r="BY38" s="1586">
        <f t="shared" si="103"/>
        <v>0</v>
      </c>
      <c r="BZ38" s="1586">
        <f t="shared" si="103"/>
        <v>9511.7516656368134</v>
      </c>
    </row>
    <row r="39" spans="1:84">
      <c r="A39" s="1569" t="s">
        <v>648</v>
      </c>
      <c r="B39" s="1568">
        <v>6.1999999999999993</v>
      </c>
      <c r="C39" s="1568"/>
      <c r="D39" s="1568"/>
      <c r="E39" s="1568">
        <f>B39+C39</f>
        <v>6.1999999999999993</v>
      </c>
      <c r="F39" s="1568">
        <v>6.5</v>
      </c>
      <c r="H39" s="1568"/>
      <c r="I39" s="1568">
        <f>F39</f>
        <v>6.5</v>
      </c>
      <c r="J39" s="1568">
        <v>5.4</v>
      </c>
      <c r="K39" s="1568"/>
      <c r="L39" s="1568"/>
      <c r="M39" s="1568">
        <f>J39+K39</f>
        <v>5.4</v>
      </c>
      <c r="N39" s="1564">
        <f>B39+F39+J39</f>
        <v>18.100000000000001</v>
      </c>
      <c r="O39" s="1564">
        <f>C39+F39+K39</f>
        <v>6.5</v>
      </c>
      <c r="P39" s="1564">
        <f>D39+H39+L39</f>
        <v>0</v>
      </c>
      <c r="Q39" s="1564">
        <f>N39+O39+P39</f>
        <v>24.6</v>
      </c>
      <c r="R39" s="1568">
        <v>2.7</v>
      </c>
      <c r="S39" s="1568">
        <v>2</v>
      </c>
      <c r="T39" s="1568"/>
      <c r="U39" s="1568">
        <f>R39+S39</f>
        <v>4.7</v>
      </c>
      <c r="V39" s="1568">
        <v>1.6</v>
      </c>
      <c r="W39" s="1568">
        <v>5.0999999999999996</v>
      </c>
      <c r="X39" s="1568"/>
      <c r="Y39" s="1568">
        <f>V39+W39</f>
        <v>6.6999999999999993</v>
      </c>
      <c r="Z39" s="1568">
        <v>1.7</v>
      </c>
      <c r="AA39" s="1568">
        <v>2.5</v>
      </c>
      <c r="AB39" s="1568"/>
      <c r="AC39" s="1568">
        <f>Z39+AA39</f>
        <v>4.2</v>
      </c>
      <c r="AD39" s="1564">
        <f t="shared" ref="AD39:AF41" si="104">R39+V39+Z39</f>
        <v>6.0000000000000009</v>
      </c>
      <c r="AE39" s="1564">
        <f t="shared" si="104"/>
        <v>9.6</v>
      </c>
      <c r="AF39" s="1564">
        <f t="shared" si="104"/>
        <v>0</v>
      </c>
      <c r="AG39" s="1564">
        <f>AD39+AE39+AF39</f>
        <v>15.600000000000001</v>
      </c>
      <c r="AH39" s="1564">
        <f t="shared" ref="AH39:AJ41" si="105">N39+AD39</f>
        <v>24.1</v>
      </c>
      <c r="AI39" s="1564">
        <f t="shared" si="105"/>
        <v>16.100000000000001</v>
      </c>
      <c r="AJ39" s="1564">
        <f t="shared" si="105"/>
        <v>0</v>
      </c>
      <c r="AK39" s="1564">
        <f>AH39+AI39+AJ39</f>
        <v>40.200000000000003</v>
      </c>
      <c r="AL39" s="1579">
        <v>1.6</v>
      </c>
      <c r="AM39" s="1579">
        <v>2.5</v>
      </c>
      <c r="AN39" s="1579"/>
      <c r="AO39" s="1579">
        <f>AL39+AM39</f>
        <v>4.0999999999999996</v>
      </c>
      <c r="AP39" s="1579">
        <v>2.1</v>
      </c>
      <c r="AQ39" s="1579">
        <v>2.7</v>
      </c>
      <c r="AR39" s="1579"/>
      <c r="AS39" s="1579">
        <f>AP39+AQ39</f>
        <v>4.8000000000000007</v>
      </c>
      <c r="AT39" s="1579">
        <v>1.9</v>
      </c>
      <c r="AU39" s="1579">
        <v>5.9</v>
      </c>
      <c r="AV39" s="1579"/>
      <c r="AW39" s="1579">
        <f>AT39+AU39</f>
        <v>7.8000000000000007</v>
      </c>
      <c r="AX39" s="1564">
        <f t="shared" ref="AX39:AZ41" si="106">AL39+AP39+AT39</f>
        <v>5.6</v>
      </c>
      <c r="AY39" s="1564">
        <f t="shared" si="106"/>
        <v>11.100000000000001</v>
      </c>
      <c r="AZ39" s="1564">
        <f t="shared" si="106"/>
        <v>0</v>
      </c>
      <c r="BA39" s="1564">
        <f>AX39+AY39+AZ39</f>
        <v>16.700000000000003</v>
      </c>
      <c r="BB39" s="1564">
        <f t="shared" ref="BB39:BD41" si="107">AH39+AX39</f>
        <v>29.700000000000003</v>
      </c>
      <c r="BC39" s="1564">
        <f t="shared" si="107"/>
        <v>27.200000000000003</v>
      </c>
      <c r="BD39" s="1564">
        <f t="shared" si="107"/>
        <v>0</v>
      </c>
      <c r="BE39" s="1564">
        <f>BB39+BC39+BD39</f>
        <v>56.900000000000006</v>
      </c>
      <c r="BF39" s="1579">
        <v>2.7</v>
      </c>
      <c r="BG39" s="1579">
        <v>3.5</v>
      </c>
      <c r="BH39" s="1579"/>
      <c r="BI39" s="1568">
        <f>BF39+BG39</f>
        <v>6.2</v>
      </c>
      <c r="BJ39" s="1579">
        <v>2.66</v>
      </c>
      <c r="BK39" s="1579">
        <v>4.4000000000000004</v>
      </c>
      <c r="BL39" s="1579"/>
      <c r="BM39" s="1568">
        <f>BJ39+BK39</f>
        <v>7.0600000000000005</v>
      </c>
      <c r="BN39" s="1580">
        <v>3</v>
      </c>
      <c r="BO39" s="1580">
        <v>3.7</v>
      </c>
      <c r="BP39" s="1580"/>
      <c r="BQ39" s="1581">
        <f>BN39+BO39+BP39</f>
        <v>6.7</v>
      </c>
      <c r="BR39" s="1564">
        <f t="shared" ref="BR39:BT41" si="108">BF39+BJ39+BN39</f>
        <v>8.36</v>
      </c>
      <c r="BS39" s="1564">
        <f t="shared" si="108"/>
        <v>11.600000000000001</v>
      </c>
      <c r="BT39" s="1564">
        <f t="shared" si="108"/>
        <v>0</v>
      </c>
      <c r="BU39" s="1564">
        <f>BR39+BS39+BT39</f>
        <v>19.96</v>
      </c>
      <c r="BV39" s="1587">
        <f>BB39+BR39+29</f>
        <v>67.06</v>
      </c>
      <c r="BW39" s="1565"/>
      <c r="BX39" s="1565">
        <f>BC39+BS39-BW39-29</f>
        <v>9.8000000000000043</v>
      </c>
      <c r="BY39" s="1565">
        <f>BD39+BT39</f>
        <v>0</v>
      </c>
      <c r="BZ39" s="1565">
        <f>BV39+BX39+BY39+BW39</f>
        <v>76.860000000000014</v>
      </c>
      <c r="CA39" s="1566"/>
    </row>
    <row r="40" spans="1:84">
      <c r="A40" s="1584" t="s">
        <v>1484</v>
      </c>
      <c r="B40" s="1568">
        <v>17.100000000000001</v>
      </c>
      <c r="C40" s="1568"/>
      <c r="D40" s="1568"/>
      <c r="E40" s="1568">
        <f>B40+C40</f>
        <v>17.100000000000001</v>
      </c>
      <c r="F40" s="1568">
        <v>17.100000000000001</v>
      </c>
      <c r="G40" s="1568"/>
      <c r="H40" s="1568"/>
      <c r="I40" s="1568">
        <f>F40+G40</f>
        <v>17.100000000000001</v>
      </c>
      <c r="J40" s="1568">
        <v>17.100000000000001</v>
      </c>
      <c r="K40" s="1568"/>
      <c r="L40" s="1568"/>
      <c r="M40" s="1568">
        <f>J40+K40</f>
        <v>17.100000000000001</v>
      </c>
      <c r="N40" s="1564">
        <f>B40+F40+J40</f>
        <v>51.300000000000004</v>
      </c>
      <c r="O40" s="1564">
        <f>C40+G40+K40</f>
        <v>0</v>
      </c>
      <c r="P40" s="1564">
        <f>D40+H40+L40</f>
        <v>0</v>
      </c>
      <c r="Q40" s="1564">
        <f>N40+O40+P40</f>
        <v>51.300000000000004</v>
      </c>
      <c r="R40" s="1568">
        <v>17.100000000000001</v>
      </c>
      <c r="S40" s="1568"/>
      <c r="T40" s="1568"/>
      <c r="U40" s="1568">
        <f>R40+S40</f>
        <v>17.100000000000001</v>
      </c>
      <c r="V40" s="1568">
        <v>95.2</v>
      </c>
      <c r="W40" s="1568"/>
      <c r="X40" s="1568"/>
      <c r="Y40" s="1568">
        <f>V40+W40</f>
        <v>95.2</v>
      </c>
      <c r="Z40" s="1568">
        <v>69.099999999999994</v>
      </c>
      <c r="AA40" s="1568"/>
      <c r="AB40" s="1568"/>
      <c r="AC40" s="1568">
        <f>Z40+AA40</f>
        <v>69.099999999999994</v>
      </c>
      <c r="AD40" s="1564">
        <f t="shared" si="104"/>
        <v>181.4</v>
      </c>
      <c r="AE40" s="1564">
        <f t="shared" si="104"/>
        <v>0</v>
      </c>
      <c r="AF40" s="1564">
        <f t="shared" si="104"/>
        <v>0</v>
      </c>
      <c r="AG40" s="1564">
        <f>AD40+AE40+AF40</f>
        <v>181.4</v>
      </c>
      <c r="AH40" s="1564">
        <f t="shared" si="105"/>
        <v>232.70000000000002</v>
      </c>
      <c r="AI40" s="1564">
        <f t="shared" si="105"/>
        <v>0</v>
      </c>
      <c r="AJ40" s="1564">
        <f t="shared" si="105"/>
        <v>0</v>
      </c>
      <c r="AK40" s="1564">
        <f>AH40+AI40+AJ40</f>
        <v>232.70000000000002</v>
      </c>
      <c r="AL40" s="1579">
        <v>17.100000000000001</v>
      </c>
      <c r="AM40" s="1579"/>
      <c r="AN40" s="1579"/>
      <c r="AO40" s="1579">
        <f>AL40+AM40</f>
        <v>17.100000000000001</v>
      </c>
      <c r="AP40" s="1579">
        <v>95.2</v>
      </c>
      <c r="AQ40" s="1579"/>
      <c r="AR40" s="1579"/>
      <c r="AS40" s="1579">
        <f>AP40+AQ40</f>
        <v>95.2</v>
      </c>
      <c r="AT40" s="1579">
        <v>43.2</v>
      </c>
      <c r="AU40" s="1579"/>
      <c r="AV40" s="1579"/>
      <c r="AW40" s="1579">
        <f>AT40+AU40</f>
        <v>43.2</v>
      </c>
      <c r="AX40" s="1564">
        <f t="shared" si="106"/>
        <v>155.5</v>
      </c>
      <c r="AY40" s="1564">
        <f t="shared" si="106"/>
        <v>0</v>
      </c>
      <c r="AZ40" s="1564">
        <f t="shared" si="106"/>
        <v>0</v>
      </c>
      <c r="BA40" s="1564">
        <f>AX40+AY40+AZ40</f>
        <v>155.5</v>
      </c>
      <c r="BB40" s="1564">
        <f t="shared" si="107"/>
        <v>388.20000000000005</v>
      </c>
      <c r="BC40" s="1564">
        <f t="shared" si="107"/>
        <v>0</v>
      </c>
      <c r="BD40" s="1564">
        <f t="shared" si="107"/>
        <v>0</v>
      </c>
      <c r="BE40" s="1564">
        <f>BB40+BC40+BD40</f>
        <v>388.20000000000005</v>
      </c>
      <c r="BF40" s="1579">
        <v>17.100000000000001</v>
      </c>
      <c r="BG40" s="1579"/>
      <c r="BH40" s="1579"/>
      <c r="BI40" s="1568">
        <f>BF40+BG40</f>
        <v>17.100000000000001</v>
      </c>
      <c r="BJ40" s="1579">
        <v>69.2</v>
      </c>
      <c r="BK40" s="1579"/>
      <c r="BL40" s="1580"/>
      <c r="BM40" s="1568">
        <f>BJ40+BK40</f>
        <v>69.2</v>
      </c>
      <c r="BN40" s="1580">
        <v>43.2</v>
      </c>
      <c r="BO40" s="1580">
        <v>42</v>
      </c>
      <c r="BP40" s="1580"/>
      <c r="BQ40" s="1581">
        <f>BN40+BO40+BP40</f>
        <v>85.2</v>
      </c>
      <c r="BR40" s="1564">
        <f t="shared" si="108"/>
        <v>129.5</v>
      </c>
      <c r="BS40" s="1564">
        <f t="shared" si="108"/>
        <v>42</v>
      </c>
      <c r="BT40" s="1564">
        <f t="shared" si="108"/>
        <v>0</v>
      </c>
      <c r="BU40" s="1564">
        <f>BR40+BS40+BT40</f>
        <v>171.5</v>
      </c>
      <c r="BV40" s="1587">
        <f>BB40+BR40</f>
        <v>517.70000000000005</v>
      </c>
      <c r="BW40" s="1565"/>
      <c r="BX40" s="1565">
        <f>BC40+BS40-BW40</f>
        <v>42</v>
      </c>
      <c r="BY40" s="1565">
        <f>BD40+BT40</f>
        <v>0</v>
      </c>
      <c r="BZ40" s="1565">
        <f>BV40+BX40+BY40+BW40</f>
        <v>559.70000000000005</v>
      </c>
      <c r="CA40" s="1566"/>
      <c r="CF40" s="1548"/>
    </row>
    <row r="41" spans="1:84">
      <c r="A41" s="1584" t="s">
        <v>429</v>
      </c>
      <c r="B41" s="1568">
        <v>153.4</v>
      </c>
      <c r="C41" s="1568">
        <v>4</v>
      </c>
      <c r="D41" s="1568"/>
      <c r="E41" s="1568">
        <f>B41+C41</f>
        <v>157.4</v>
      </c>
      <c r="F41" s="1568">
        <v>153.4</v>
      </c>
      <c r="G41" s="1568">
        <v>4</v>
      </c>
      <c r="H41" s="1568"/>
      <c r="I41" s="1568">
        <f>F41+G41</f>
        <v>157.4</v>
      </c>
      <c r="J41" s="1568">
        <v>153.4</v>
      </c>
      <c r="K41" s="1568">
        <v>4</v>
      </c>
      <c r="L41" s="1568"/>
      <c r="M41" s="1568">
        <f>J41+K41</f>
        <v>157.4</v>
      </c>
      <c r="N41" s="1564">
        <f>B41+F41+J41</f>
        <v>460.20000000000005</v>
      </c>
      <c r="O41" s="1564">
        <f>C41+G41+K41</f>
        <v>12</v>
      </c>
      <c r="P41" s="1564">
        <f>D41+H41+L41</f>
        <v>0</v>
      </c>
      <c r="Q41" s="1564">
        <f>N41+O41+P41</f>
        <v>472.20000000000005</v>
      </c>
      <c r="R41" s="1568">
        <v>153.4</v>
      </c>
      <c r="S41" s="1568">
        <v>3.8</v>
      </c>
      <c r="T41" s="1568"/>
      <c r="U41" s="1568">
        <f>R41+S41</f>
        <v>157.20000000000002</v>
      </c>
      <c r="V41" s="1568">
        <v>153.4</v>
      </c>
      <c r="W41" s="1568">
        <v>3.6</v>
      </c>
      <c r="X41" s="1568"/>
      <c r="Y41" s="1568">
        <f>V41+W41</f>
        <v>157</v>
      </c>
      <c r="Z41" s="1568">
        <v>153.30000000000001</v>
      </c>
      <c r="AA41" s="1568">
        <v>3.7</v>
      </c>
      <c r="AB41" s="1568"/>
      <c r="AC41" s="1568">
        <f>Z41+AA41</f>
        <v>157</v>
      </c>
      <c r="AD41" s="1564">
        <f t="shared" si="104"/>
        <v>460.1</v>
      </c>
      <c r="AE41" s="1564">
        <f t="shared" si="104"/>
        <v>11.100000000000001</v>
      </c>
      <c r="AF41" s="1564">
        <f t="shared" si="104"/>
        <v>0</v>
      </c>
      <c r="AG41" s="1564">
        <f>AD41+AE41+AF41</f>
        <v>471.20000000000005</v>
      </c>
      <c r="AH41" s="1564">
        <f t="shared" si="105"/>
        <v>920.30000000000007</v>
      </c>
      <c r="AI41" s="1564">
        <f t="shared" si="105"/>
        <v>23.1</v>
      </c>
      <c r="AJ41" s="1564">
        <f t="shared" si="105"/>
        <v>0</v>
      </c>
      <c r="AK41" s="1564">
        <f>AH41+AI41+AJ41</f>
        <v>943.40000000000009</v>
      </c>
      <c r="AL41" s="1579">
        <v>153.6</v>
      </c>
      <c r="AM41" s="1579">
        <v>3.8</v>
      </c>
      <c r="AN41" s="1579"/>
      <c r="AO41" s="1579">
        <f>AL41+AM41</f>
        <v>157.4</v>
      </c>
      <c r="AP41" s="1579">
        <v>153.6</v>
      </c>
      <c r="AQ41" s="1579">
        <v>3.7</v>
      </c>
      <c r="AR41" s="1579"/>
      <c r="AS41" s="1579">
        <f>AP41+AQ41</f>
        <v>157.29999999999998</v>
      </c>
      <c r="AT41" s="1579">
        <v>153.6</v>
      </c>
      <c r="AU41" s="1579">
        <v>3.4</v>
      </c>
      <c r="AV41" s="1579"/>
      <c r="AW41" s="1579">
        <f>AT41+AU41</f>
        <v>157</v>
      </c>
      <c r="AX41" s="1564">
        <f t="shared" si="106"/>
        <v>460.79999999999995</v>
      </c>
      <c r="AY41" s="1564">
        <f t="shared" si="106"/>
        <v>10.9</v>
      </c>
      <c r="AZ41" s="1564">
        <f t="shared" si="106"/>
        <v>0</v>
      </c>
      <c r="BA41" s="1564">
        <f>AX41+AY41+AZ41</f>
        <v>471.69999999999993</v>
      </c>
      <c r="BB41" s="1564">
        <f t="shared" si="107"/>
        <v>1381.1</v>
      </c>
      <c r="BC41" s="1564">
        <f t="shared" si="107"/>
        <v>34</v>
      </c>
      <c r="BD41" s="1564">
        <f t="shared" si="107"/>
        <v>0</v>
      </c>
      <c r="BE41" s="1564">
        <f>BB41+BC41+BD41</f>
        <v>1415.1</v>
      </c>
      <c r="BF41" s="1579">
        <v>153.6</v>
      </c>
      <c r="BG41" s="1579">
        <v>3.7</v>
      </c>
      <c r="BH41" s="1579"/>
      <c r="BI41" s="1568">
        <f>BF41+BG41</f>
        <v>157.29999999999998</v>
      </c>
      <c r="BJ41" s="1579">
        <v>153.6</v>
      </c>
      <c r="BK41" s="1579">
        <v>3.7</v>
      </c>
      <c r="BL41" s="1580"/>
      <c r="BM41" s="1568">
        <f>BJ41+BK41</f>
        <v>157.29999999999998</v>
      </c>
      <c r="BN41" s="1580">
        <v>150.80000000000001</v>
      </c>
      <c r="BO41" s="1580">
        <v>3.7</v>
      </c>
      <c r="BP41" s="1580"/>
      <c r="BQ41" s="1581">
        <f>BN41+BO41+BP41</f>
        <v>154.5</v>
      </c>
      <c r="BR41" s="1564">
        <f t="shared" si="108"/>
        <v>458</v>
      </c>
      <c r="BS41" s="1564">
        <f t="shared" si="108"/>
        <v>11.100000000000001</v>
      </c>
      <c r="BT41" s="1564">
        <f t="shared" si="108"/>
        <v>0</v>
      </c>
      <c r="BU41" s="1564">
        <f>BR41+BS41+BT41</f>
        <v>469.1</v>
      </c>
      <c r="BV41" s="1587">
        <f>BB41+BR41</f>
        <v>1839.1</v>
      </c>
      <c r="BW41" s="1565"/>
      <c r="BX41" s="1565">
        <f>BC41+BS41-BW41</f>
        <v>45.1</v>
      </c>
      <c r="BY41" s="1565">
        <f>BD41+BT41</f>
        <v>0</v>
      </c>
      <c r="BZ41" s="1565">
        <f>BV41+BX41+BY41+BW41</f>
        <v>1884.1999999999998</v>
      </c>
      <c r="CA41" s="1566"/>
    </row>
    <row r="42" spans="1:84">
      <c r="A42" s="1569" t="s">
        <v>1485</v>
      </c>
      <c r="B42" s="1568"/>
      <c r="C42" s="1568"/>
      <c r="D42" s="1568"/>
      <c r="E42" s="1568">
        <f t="shared" ref="E42" si="109">B42+C42</f>
        <v>0</v>
      </c>
      <c r="F42" s="1568"/>
      <c r="G42" s="1568"/>
      <c r="H42" s="1568"/>
      <c r="I42" s="1568">
        <f t="shared" ref="I42" si="110">F42+G42</f>
        <v>0</v>
      </c>
      <c r="J42" s="1568">
        <v>23</v>
      </c>
      <c r="K42" s="1568">
        <v>22</v>
      </c>
      <c r="L42" s="1568"/>
      <c r="M42" s="1568">
        <f t="shared" ref="M42" si="111">J42+K42</f>
        <v>45</v>
      </c>
      <c r="N42" s="1564">
        <f t="shared" ref="N42:P42" si="112">B42+F42+J42</f>
        <v>23</v>
      </c>
      <c r="O42" s="1564">
        <f t="shared" si="112"/>
        <v>22</v>
      </c>
      <c r="P42" s="1564">
        <f t="shared" si="112"/>
        <v>0</v>
      </c>
      <c r="Q42" s="1564">
        <f t="shared" ref="Q42" si="113">N42+O42+P42</f>
        <v>45</v>
      </c>
      <c r="R42" s="1568">
        <v>5.7</v>
      </c>
      <c r="S42" s="1568">
        <v>7.2</v>
      </c>
      <c r="T42" s="1568"/>
      <c r="U42" s="1568">
        <f t="shared" ref="U42" si="114">R42+S42</f>
        <v>12.9</v>
      </c>
      <c r="V42" s="1568">
        <v>3.5</v>
      </c>
      <c r="W42" s="1568">
        <v>0.9</v>
      </c>
      <c r="X42" s="1568"/>
      <c r="Y42" s="1568">
        <f t="shared" ref="Y42" si="115">V42+W42</f>
        <v>4.4000000000000004</v>
      </c>
      <c r="Z42" s="1568"/>
      <c r="AA42" s="1568"/>
      <c r="AB42" s="1568"/>
      <c r="AC42" s="1568">
        <f t="shared" ref="AC42" si="116">Z42+AA42</f>
        <v>0</v>
      </c>
      <c r="AD42" s="1564">
        <f t="shared" ref="AD42:AF42" si="117">R42+V42+Z42</f>
        <v>9.1999999999999993</v>
      </c>
      <c r="AE42" s="1564">
        <f t="shared" si="117"/>
        <v>8.1</v>
      </c>
      <c r="AF42" s="1564">
        <f t="shared" si="117"/>
        <v>0</v>
      </c>
      <c r="AG42" s="1564">
        <f t="shared" si="19"/>
        <v>17.299999999999997</v>
      </c>
      <c r="AH42" s="1564">
        <f t="shared" ref="AH42:AJ42" si="118">N42+AD42</f>
        <v>32.200000000000003</v>
      </c>
      <c r="AI42" s="1564">
        <f t="shared" si="118"/>
        <v>30.1</v>
      </c>
      <c r="AJ42" s="1564">
        <f t="shared" si="118"/>
        <v>0</v>
      </c>
      <c r="AK42" s="1564">
        <f t="shared" si="21"/>
        <v>62.300000000000004</v>
      </c>
      <c r="AL42" s="1579"/>
      <c r="AM42" s="1579"/>
      <c r="AN42" s="1579"/>
      <c r="AO42" s="1579">
        <f t="shared" ref="AO42" si="119">AL42+AM42</f>
        <v>0</v>
      </c>
      <c r="AP42" s="1579"/>
      <c r="AQ42" s="1579"/>
      <c r="AR42" s="1579"/>
      <c r="AS42" s="1579">
        <f t="shared" ref="AS42" si="120">AP42+AQ42</f>
        <v>0</v>
      </c>
      <c r="AT42" s="1579"/>
      <c r="AU42" s="1579"/>
      <c r="AV42" s="1579"/>
      <c r="AW42" s="1579">
        <f t="shared" ref="AW42" si="121">AT42+AU42</f>
        <v>0</v>
      </c>
      <c r="AX42" s="1564">
        <f t="shared" ref="AX42:AZ42" si="122">AL42+AP42+AT42</f>
        <v>0</v>
      </c>
      <c r="AY42" s="1564">
        <f t="shared" si="122"/>
        <v>0</v>
      </c>
      <c r="AZ42" s="1564">
        <f t="shared" si="122"/>
        <v>0</v>
      </c>
      <c r="BA42" s="1564">
        <f t="shared" ref="BA42" si="123">AX42+AY42+AZ42</f>
        <v>0</v>
      </c>
      <c r="BB42" s="1564">
        <f t="shared" ref="BB42:BD42" si="124">AH42+AX42</f>
        <v>32.200000000000003</v>
      </c>
      <c r="BC42" s="1564">
        <f t="shared" si="124"/>
        <v>30.1</v>
      </c>
      <c r="BD42" s="1564">
        <f t="shared" si="124"/>
        <v>0</v>
      </c>
      <c r="BE42" s="1564">
        <f t="shared" ref="BE42" si="125">BB42+BC42+BD42</f>
        <v>62.300000000000004</v>
      </c>
      <c r="BF42" s="1579">
        <v>6.5</v>
      </c>
      <c r="BG42" s="1579">
        <v>8</v>
      </c>
      <c r="BH42" s="1579"/>
      <c r="BI42" s="1568">
        <f t="shared" ref="BI42" si="126">BF42+BG42</f>
        <v>14.5</v>
      </c>
      <c r="BJ42" s="1579">
        <v>7.9</v>
      </c>
      <c r="BK42" s="1579">
        <v>6.7</v>
      </c>
      <c r="BL42" s="1580"/>
      <c r="BM42" s="1568">
        <f t="shared" ref="BM42" si="127">BJ42+BK42</f>
        <v>14.600000000000001</v>
      </c>
      <c r="BN42" s="1580">
        <v>15.7</v>
      </c>
      <c r="BO42" s="1580">
        <v>64.2</v>
      </c>
      <c r="BP42" s="1580"/>
      <c r="BQ42" s="1581">
        <f t="shared" ref="BQ42:BQ57" si="128">BN42+BO42+BP42</f>
        <v>79.900000000000006</v>
      </c>
      <c r="BR42" s="1564">
        <f t="shared" ref="BR42:BT42" si="129">BF42+BJ42+BN42</f>
        <v>30.1</v>
      </c>
      <c r="BS42" s="1564">
        <f t="shared" si="129"/>
        <v>78.900000000000006</v>
      </c>
      <c r="BT42" s="1564">
        <f t="shared" si="129"/>
        <v>0</v>
      </c>
      <c r="BU42" s="1564">
        <f t="shared" ref="BU42" si="130">BR42+BS42+BT42</f>
        <v>109</v>
      </c>
      <c r="BV42" s="1587">
        <f>BB42+BR42+58</f>
        <v>120.30000000000001</v>
      </c>
      <c r="BW42" s="1565"/>
      <c r="BX42" s="1565">
        <f>BC42+BS42-BW42-58</f>
        <v>51</v>
      </c>
      <c r="BY42" s="1565">
        <f t="shared" ref="BY42" si="131">BD42+BT42</f>
        <v>0</v>
      </c>
      <c r="BZ42" s="1565">
        <f t="shared" ref="BZ42" si="132">BV42+BX42+BY42+BW42</f>
        <v>171.3</v>
      </c>
      <c r="CA42" s="1566"/>
    </row>
    <row r="43" spans="1:84">
      <c r="A43" s="1585" t="s">
        <v>1486</v>
      </c>
      <c r="B43" s="1568">
        <v>246.3</v>
      </c>
      <c r="C43" s="1568">
        <v>132.19999999999999</v>
      </c>
      <c r="D43" s="1568"/>
      <c r="E43" s="1568">
        <f t="shared" ref="E43:E49" si="133">B43+C43</f>
        <v>378.5</v>
      </c>
      <c r="F43" s="1568">
        <v>248.5</v>
      </c>
      <c r="G43" s="1568">
        <v>135.9</v>
      </c>
      <c r="H43" s="1568"/>
      <c r="I43" s="1568">
        <f t="shared" ref="I43:I49" si="134">F43+G43</f>
        <v>384.4</v>
      </c>
      <c r="J43" s="1568">
        <v>369.2</v>
      </c>
      <c r="K43" s="1568">
        <v>163.69999999999999</v>
      </c>
      <c r="L43" s="1568"/>
      <c r="M43" s="1568">
        <f t="shared" ref="M43:M49" si="135">J43+K43</f>
        <v>532.9</v>
      </c>
      <c r="N43" s="1564">
        <f>B43+F43+J43</f>
        <v>864</v>
      </c>
      <c r="O43" s="1564">
        <f>C43+G43+K43</f>
        <v>431.8</v>
      </c>
      <c r="P43" s="1564">
        <f>D43+H43+L43</f>
        <v>0</v>
      </c>
      <c r="Q43" s="1564">
        <f>N43+O43+P43</f>
        <v>1295.8</v>
      </c>
      <c r="R43" s="1568">
        <v>200.6</v>
      </c>
      <c r="S43" s="1568">
        <v>127.67</v>
      </c>
      <c r="T43" s="1568"/>
      <c r="U43" s="1568">
        <f t="shared" ref="U43:U49" si="136">R43+S43</f>
        <v>328.27</v>
      </c>
      <c r="V43" s="1568">
        <v>230.9</v>
      </c>
      <c r="W43" s="1568">
        <v>109.4</v>
      </c>
      <c r="X43" s="1568"/>
      <c r="Y43" s="1568">
        <f t="shared" ref="Y43:Y49" si="137">V43+W43</f>
        <v>340.3</v>
      </c>
      <c r="Z43" s="1568">
        <v>201.8</v>
      </c>
      <c r="AA43" s="1568">
        <v>143.1</v>
      </c>
      <c r="AB43" s="1568"/>
      <c r="AC43" s="1568">
        <f t="shared" ref="AC43:AC49" si="138">Z43+AA43</f>
        <v>344.9</v>
      </c>
      <c r="AD43" s="1564">
        <f>R43+V43+Z43</f>
        <v>633.29999999999995</v>
      </c>
      <c r="AE43" s="1564">
        <f>S43+W43+AA43</f>
        <v>380.16999999999996</v>
      </c>
      <c r="AF43" s="1564">
        <f>T43+X43+AB43</f>
        <v>0</v>
      </c>
      <c r="AG43" s="1564">
        <f>AD43+AE43+AF43</f>
        <v>1013.4699999999999</v>
      </c>
      <c r="AH43" s="1564">
        <f t="shared" ref="AH43:AJ49" si="139">N43+AD43</f>
        <v>1497.3</v>
      </c>
      <c r="AI43" s="1564">
        <f t="shared" si="139"/>
        <v>811.97</v>
      </c>
      <c r="AJ43" s="1564">
        <f t="shared" si="139"/>
        <v>0</v>
      </c>
      <c r="AK43" s="1564">
        <f>AH43+AI43+AJ43</f>
        <v>2309.27</v>
      </c>
      <c r="AL43" s="1579">
        <v>241.3</v>
      </c>
      <c r="AM43" s="1579">
        <v>153.9</v>
      </c>
      <c r="AN43" s="1579"/>
      <c r="AO43" s="1579">
        <f t="shared" ref="AO43:AO49" si="140">AL43+AM43</f>
        <v>395.20000000000005</v>
      </c>
      <c r="AP43" s="1579">
        <v>266.10000000000002</v>
      </c>
      <c r="AQ43" s="1579">
        <v>144.19999999999999</v>
      </c>
      <c r="AR43" s="1579"/>
      <c r="AS43" s="1579">
        <f t="shared" ref="AS43:AS49" si="141">AP43+AQ43</f>
        <v>410.3</v>
      </c>
      <c r="AT43" s="1579">
        <v>212.1</v>
      </c>
      <c r="AU43" s="1579">
        <v>124.4</v>
      </c>
      <c r="AV43" s="1579"/>
      <c r="AW43" s="1579">
        <f t="shared" ref="AW43:AW49" si="142">AT43+AU43</f>
        <v>336.5</v>
      </c>
      <c r="AX43" s="1564">
        <f t="shared" ref="AX43:AZ49" si="143">AL43+AP43+AT43</f>
        <v>719.5</v>
      </c>
      <c r="AY43" s="1564">
        <f t="shared" si="143"/>
        <v>422.5</v>
      </c>
      <c r="AZ43" s="1564">
        <f t="shared" si="143"/>
        <v>0</v>
      </c>
      <c r="BA43" s="1564">
        <f t="shared" ref="BA43:BA49" si="144">AX43+AY43+AZ43</f>
        <v>1142</v>
      </c>
      <c r="BB43" s="1564">
        <f t="shared" ref="BB43:BD49" si="145">AH43+AX43</f>
        <v>2216.8000000000002</v>
      </c>
      <c r="BC43" s="1564">
        <f t="shared" si="145"/>
        <v>1234.47</v>
      </c>
      <c r="BD43" s="1564">
        <f t="shared" si="145"/>
        <v>0</v>
      </c>
      <c r="BE43" s="1564">
        <f t="shared" ref="BE43:BE49" si="146">BB43+BC43+BD43</f>
        <v>3451.2700000000004</v>
      </c>
      <c r="BF43" s="1579">
        <v>241.3</v>
      </c>
      <c r="BG43" s="1579">
        <v>130.4</v>
      </c>
      <c r="BH43" s="1579"/>
      <c r="BI43" s="1568">
        <f t="shared" ref="BI43:BI49" si="147">BF43+BG43</f>
        <v>371.70000000000005</v>
      </c>
      <c r="BJ43" s="1579">
        <v>335</v>
      </c>
      <c r="BK43" s="1579">
        <v>80.8</v>
      </c>
      <c r="BL43" s="1580"/>
      <c r="BM43" s="1568">
        <f t="shared" ref="BM43:BM49" si="148">BJ43+BK43</f>
        <v>415.8</v>
      </c>
      <c r="BN43" s="1580">
        <v>370</v>
      </c>
      <c r="BO43" s="1580">
        <v>47.8</v>
      </c>
      <c r="BP43" s="1580"/>
      <c r="BQ43" s="1581">
        <f t="shared" ref="BQ43:BQ49" si="149">BN43+BO43+BP43</f>
        <v>417.8</v>
      </c>
      <c r="BR43" s="1564">
        <f t="shared" ref="BR43:BT49" si="150">BF43+BJ43+BN43</f>
        <v>946.3</v>
      </c>
      <c r="BS43" s="1564">
        <f t="shared" si="150"/>
        <v>259</v>
      </c>
      <c r="BT43" s="1564">
        <f t="shared" si="150"/>
        <v>0</v>
      </c>
      <c r="BU43" s="1564">
        <f t="shared" ref="BU43:BU49" si="151">BR43+BS43+BT43</f>
        <v>1205.3</v>
      </c>
      <c r="BV43" s="1587">
        <v>3859.5230999999999</v>
      </c>
      <c r="BW43" s="1565">
        <v>7.5716850495238406</v>
      </c>
      <c r="BX43" s="1565">
        <v>859.46948058729004</v>
      </c>
      <c r="BY43" s="1565">
        <f t="shared" ref="BY43:BY49" si="152">BD43+BT43</f>
        <v>0</v>
      </c>
      <c r="BZ43" s="1565">
        <f t="shared" ref="BZ43:BZ49" si="153">BV43+BX43+BY43+BW43</f>
        <v>4726.5642656368136</v>
      </c>
      <c r="CA43" s="1566"/>
    </row>
    <row r="44" spans="1:84">
      <c r="A44" s="1588" t="s">
        <v>1487</v>
      </c>
      <c r="B44" s="1563">
        <f>B45+B46+B47+B48+B49</f>
        <v>0</v>
      </c>
      <c r="C44" s="1563">
        <f t="shared" ref="C44:T44" si="154">C45+C46+C47+C48+C49</f>
        <v>0</v>
      </c>
      <c r="D44" s="1563">
        <f t="shared" si="154"/>
        <v>0</v>
      </c>
      <c r="E44" s="1563">
        <f t="shared" si="133"/>
        <v>0</v>
      </c>
      <c r="F44" s="1563">
        <f t="shared" si="154"/>
        <v>0</v>
      </c>
      <c r="G44" s="1563">
        <f t="shared" si="154"/>
        <v>0</v>
      </c>
      <c r="H44" s="1563">
        <f t="shared" si="154"/>
        <v>0</v>
      </c>
      <c r="I44" s="1563">
        <f t="shared" si="134"/>
        <v>0</v>
      </c>
      <c r="J44" s="1563">
        <f t="shared" si="154"/>
        <v>433.5</v>
      </c>
      <c r="K44" s="1563">
        <f t="shared" si="154"/>
        <v>64.099999999999994</v>
      </c>
      <c r="L44" s="1563">
        <f t="shared" si="154"/>
        <v>0</v>
      </c>
      <c r="M44" s="1563">
        <f t="shared" si="135"/>
        <v>497.6</v>
      </c>
      <c r="N44" s="1564">
        <f t="shared" ref="N44:P49" si="155">B44+F44+J44</f>
        <v>433.5</v>
      </c>
      <c r="O44" s="1564">
        <f t="shared" si="155"/>
        <v>64.099999999999994</v>
      </c>
      <c r="P44" s="1564">
        <f t="shared" si="155"/>
        <v>0</v>
      </c>
      <c r="Q44" s="1564">
        <f t="shared" ref="Q44:Q49" si="156">N44+O44+P44</f>
        <v>497.6</v>
      </c>
      <c r="R44" s="1563">
        <f t="shared" si="154"/>
        <v>0</v>
      </c>
      <c r="S44" s="1563">
        <f t="shared" si="154"/>
        <v>0</v>
      </c>
      <c r="T44" s="1563">
        <f t="shared" si="154"/>
        <v>0</v>
      </c>
      <c r="U44" s="1563">
        <f t="shared" si="136"/>
        <v>0</v>
      </c>
      <c r="V44" s="1563">
        <f t="shared" ref="V44:X44" si="157">V45+V46+V47+V48+V49</f>
        <v>0</v>
      </c>
      <c r="W44" s="1563">
        <f t="shared" si="157"/>
        <v>0</v>
      </c>
      <c r="X44" s="1563">
        <f t="shared" si="157"/>
        <v>0</v>
      </c>
      <c r="Y44" s="1563">
        <f t="shared" si="137"/>
        <v>0</v>
      </c>
      <c r="Z44" s="1563">
        <f t="shared" ref="Z44:AB44" si="158">Z45+Z46+Z47+Z48+Z49</f>
        <v>437.4</v>
      </c>
      <c r="AA44" s="1563">
        <f t="shared" si="158"/>
        <v>51</v>
      </c>
      <c r="AB44" s="1563">
        <f t="shared" si="158"/>
        <v>0</v>
      </c>
      <c r="AC44" s="1563">
        <f t="shared" si="138"/>
        <v>488.4</v>
      </c>
      <c r="AD44" s="1564">
        <f t="shared" ref="AD44:AF49" si="159">R44+V44+Z44</f>
        <v>437.4</v>
      </c>
      <c r="AE44" s="1564">
        <f t="shared" si="159"/>
        <v>51</v>
      </c>
      <c r="AF44" s="1564">
        <f t="shared" si="159"/>
        <v>0</v>
      </c>
      <c r="AG44" s="1564">
        <f t="shared" ref="AG44:AG49" si="160">AD44+AE44+AF44</f>
        <v>488.4</v>
      </c>
      <c r="AH44" s="1564">
        <f t="shared" si="139"/>
        <v>870.9</v>
      </c>
      <c r="AI44" s="1564">
        <f t="shared" si="139"/>
        <v>115.1</v>
      </c>
      <c r="AJ44" s="1564">
        <f t="shared" si="139"/>
        <v>0</v>
      </c>
      <c r="AK44" s="1564">
        <f t="shared" ref="AK44" si="161">AH44+AI44+AJ44</f>
        <v>986</v>
      </c>
      <c r="AL44" s="1589">
        <f t="shared" ref="AL44:AN44" si="162">AL45+AL46+AL47+AL48+AL49</f>
        <v>0</v>
      </c>
      <c r="AM44" s="1589">
        <f t="shared" si="162"/>
        <v>0</v>
      </c>
      <c r="AN44" s="1589">
        <f t="shared" si="162"/>
        <v>0</v>
      </c>
      <c r="AO44" s="1589">
        <f t="shared" si="140"/>
        <v>0</v>
      </c>
      <c r="AP44" s="1589">
        <f t="shared" ref="AP44:AR44" si="163">AP45+AP46+AP47+AP48+AP49</f>
        <v>0</v>
      </c>
      <c r="AQ44" s="1589">
        <f t="shared" si="163"/>
        <v>0</v>
      </c>
      <c r="AR44" s="1589">
        <f t="shared" si="163"/>
        <v>0</v>
      </c>
      <c r="AS44" s="1589">
        <f t="shared" si="141"/>
        <v>0</v>
      </c>
      <c r="AT44" s="1589">
        <f t="shared" ref="AT44:AV44" si="164">AT45+AT46+AT47+AT48+AT49</f>
        <v>438.1</v>
      </c>
      <c r="AU44" s="1589">
        <f t="shared" si="164"/>
        <v>77.5</v>
      </c>
      <c r="AV44" s="1589">
        <f t="shared" si="164"/>
        <v>0</v>
      </c>
      <c r="AW44" s="1589">
        <f t="shared" si="142"/>
        <v>515.6</v>
      </c>
      <c r="AX44" s="1564">
        <f t="shared" si="143"/>
        <v>438.1</v>
      </c>
      <c r="AY44" s="1564">
        <f t="shared" si="143"/>
        <v>77.5</v>
      </c>
      <c r="AZ44" s="1564">
        <f t="shared" si="143"/>
        <v>0</v>
      </c>
      <c r="BA44" s="1564">
        <f t="shared" si="144"/>
        <v>515.6</v>
      </c>
      <c r="BB44" s="1564">
        <f t="shared" si="145"/>
        <v>1309</v>
      </c>
      <c r="BC44" s="1564">
        <f t="shared" si="145"/>
        <v>192.6</v>
      </c>
      <c r="BD44" s="1564">
        <f t="shared" si="145"/>
        <v>0</v>
      </c>
      <c r="BE44" s="1564">
        <f t="shared" si="146"/>
        <v>1501.6</v>
      </c>
      <c r="BF44" s="1590">
        <f t="shared" ref="BF44:BH44" si="165">BF45+BF46+BF47+BF48+BF49</f>
        <v>0</v>
      </c>
      <c r="BG44" s="1590">
        <f t="shared" si="165"/>
        <v>0</v>
      </c>
      <c r="BH44" s="1590">
        <f t="shared" si="165"/>
        <v>0</v>
      </c>
      <c r="BI44" s="1563">
        <f t="shared" si="147"/>
        <v>0</v>
      </c>
      <c r="BJ44" s="1590">
        <f t="shared" ref="BJ44:BL44" si="166">BJ45+BJ46+BJ47+BJ48+BJ49</f>
        <v>0</v>
      </c>
      <c r="BK44" s="1590">
        <f t="shared" si="166"/>
        <v>0</v>
      </c>
      <c r="BL44" s="1590">
        <f t="shared" si="166"/>
        <v>0</v>
      </c>
      <c r="BM44" s="1563">
        <f t="shared" si="148"/>
        <v>0</v>
      </c>
      <c r="BN44" s="1590">
        <f t="shared" ref="BN44:BP44" si="167">BN45+BN46+BN47+BN48+BN49</f>
        <v>494.6</v>
      </c>
      <c r="BO44" s="1590">
        <f t="shared" si="167"/>
        <v>66.3</v>
      </c>
      <c r="BP44" s="1590">
        <f t="shared" si="167"/>
        <v>0</v>
      </c>
      <c r="BQ44" s="1581">
        <f t="shared" si="149"/>
        <v>560.9</v>
      </c>
      <c r="BR44" s="1564">
        <f t="shared" si="150"/>
        <v>494.6</v>
      </c>
      <c r="BS44" s="1564">
        <f t="shared" si="150"/>
        <v>66.3</v>
      </c>
      <c r="BT44" s="1564">
        <f t="shared" si="150"/>
        <v>0</v>
      </c>
      <c r="BU44" s="1564">
        <f t="shared" si="151"/>
        <v>560.9</v>
      </c>
      <c r="BV44" s="1565">
        <f>SUM(BV45:BV49)</f>
        <v>1834.2274</v>
      </c>
      <c r="BW44" s="1565"/>
      <c r="BX44" s="1565">
        <f t="shared" ref="BX44:BX49" si="168">BC44+BS44-BW44</f>
        <v>258.89999999999998</v>
      </c>
      <c r="BY44" s="1565">
        <f t="shared" si="152"/>
        <v>0</v>
      </c>
      <c r="BZ44" s="1565">
        <f t="shared" si="153"/>
        <v>2093.1273999999999</v>
      </c>
    </row>
    <row r="45" spans="1:84">
      <c r="A45" s="1578" t="s">
        <v>1488</v>
      </c>
      <c r="B45" s="1568"/>
      <c r="C45" s="1568"/>
      <c r="D45" s="1568"/>
      <c r="E45" s="1568">
        <f t="shared" si="133"/>
        <v>0</v>
      </c>
      <c r="F45" s="1568"/>
      <c r="G45" s="1568"/>
      <c r="H45" s="1568"/>
      <c r="I45" s="1568">
        <f t="shared" si="134"/>
        <v>0</v>
      </c>
      <c r="J45" s="1568">
        <v>14.5</v>
      </c>
      <c r="K45" s="1568"/>
      <c r="L45" s="1568"/>
      <c r="M45" s="1568">
        <f t="shared" si="135"/>
        <v>14.5</v>
      </c>
      <c r="N45" s="1564">
        <f t="shared" si="155"/>
        <v>14.5</v>
      </c>
      <c r="O45" s="1564">
        <f t="shared" si="155"/>
        <v>0</v>
      </c>
      <c r="P45" s="1564">
        <f t="shared" si="155"/>
        <v>0</v>
      </c>
      <c r="Q45" s="1564">
        <f t="shared" si="156"/>
        <v>14.5</v>
      </c>
      <c r="R45" s="1568"/>
      <c r="S45" s="1568"/>
      <c r="T45" s="1568"/>
      <c r="U45" s="1568">
        <f t="shared" si="136"/>
        <v>0</v>
      </c>
      <c r="V45" s="1568"/>
      <c r="W45" s="1568"/>
      <c r="X45" s="1568"/>
      <c r="Y45" s="1568">
        <f t="shared" si="137"/>
        <v>0</v>
      </c>
      <c r="Z45" s="1568">
        <v>12.4</v>
      </c>
      <c r="AA45" s="1568">
        <v>2.1</v>
      </c>
      <c r="AB45" s="1568"/>
      <c r="AC45" s="1568">
        <f t="shared" si="138"/>
        <v>14.5</v>
      </c>
      <c r="AD45" s="1564">
        <f t="shared" si="159"/>
        <v>12.4</v>
      </c>
      <c r="AE45" s="1564">
        <f t="shared" si="159"/>
        <v>2.1</v>
      </c>
      <c r="AF45" s="1564">
        <f t="shared" si="159"/>
        <v>0</v>
      </c>
      <c r="AG45" s="1564">
        <f t="shared" si="160"/>
        <v>14.5</v>
      </c>
      <c r="AH45" s="1564">
        <f t="shared" si="139"/>
        <v>26.9</v>
      </c>
      <c r="AI45" s="1564">
        <f t="shared" si="139"/>
        <v>2.1</v>
      </c>
      <c r="AJ45" s="1564">
        <f t="shared" si="139"/>
        <v>0</v>
      </c>
      <c r="AK45" s="1564">
        <f>AH45+AI45+AJ45</f>
        <v>29</v>
      </c>
      <c r="AL45" s="1579"/>
      <c r="AM45" s="1579"/>
      <c r="AN45" s="1579"/>
      <c r="AO45" s="1579">
        <f t="shared" si="140"/>
        <v>0</v>
      </c>
      <c r="AP45" s="1579"/>
      <c r="AQ45" s="1579"/>
      <c r="AR45" s="1579"/>
      <c r="AS45" s="1579">
        <f t="shared" si="141"/>
        <v>0</v>
      </c>
      <c r="AT45" s="1579">
        <v>12.1</v>
      </c>
      <c r="AU45" s="1579">
        <v>2.4</v>
      </c>
      <c r="AV45" s="1579"/>
      <c r="AW45" s="1579">
        <f t="shared" si="142"/>
        <v>14.5</v>
      </c>
      <c r="AX45" s="1564">
        <f t="shared" si="143"/>
        <v>12.1</v>
      </c>
      <c r="AY45" s="1564">
        <f t="shared" si="143"/>
        <v>2.4</v>
      </c>
      <c r="AZ45" s="1564">
        <f t="shared" si="143"/>
        <v>0</v>
      </c>
      <c r="BA45" s="1564">
        <f t="shared" si="144"/>
        <v>14.5</v>
      </c>
      <c r="BB45" s="1564">
        <f t="shared" si="145"/>
        <v>39</v>
      </c>
      <c r="BC45" s="1564">
        <f t="shared" si="145"/>
        <v>4.5</v>
      </c>
      <c r="BD45" s="1564">
        <f t="shared" si="145"/>
        <v>0</v>
      </c>
      <c r="BE45" s="1564">
        <f t="shared" si="146"/>
        <v>43.5</v>
      </c>
      <c r="BF45" s="1580"/>
      <c r="BG45" s="1580"/>
      <c r="BH45" s="1580"/>
      <c r="BI45" s="1568">
        <f t="shared" si="147"/>
        <v>0</v>
      </c>
      <c r="BJ45" s="1580"/>
      <c r="BK45" s="1580"/>
      <c r="BL45" s="1580"/>
      <c r="BM45" s="1568">
        <f t="shared" si="148"/>
        <v>0</v>
      </c>
      <c r="BN45" s="1580">
        <v>13.6</v>
      </c>
      <c r="BO45" s="1580">
        <v>0.9</v>
      </c>
      <c r="BP45" s="1580"/>
      <c r="BQ45" s="1581">
        <f t="shared" si="149"/>
        <v>14.5</v>
      </c>
      <c r="BR45" s="1564">
        <f t="shared" si="150"/>
        <v>13.6</v>
      </c>
      <c r="BS45" s="1564">
        <f t="shared" si="150"/>
        <v>0.9</v>
      </c>
      <c r="BT45" s="1564">
        <f t="shared" si="150"/>
        <v>0</v>
      </c>
      <c r="BU45" s="1564">
        <f t="shared" si="151"/>
        <v>14.5</v>
      </c>
      <c r="BV45" s="1587">
        <f>BB45+BR45+5.4</f>
        <v>58</v>
      </c>
      <c r="BW45" s="1565"/>
      <c r="BX45" s="1565"/>
      <c r="BY45" s="1565">
        <f t="shared" si="152"/>
        <v>0</v>
      </c>
      <c r="BZ45" s="1565">
        <f t="shared" si="153"/>
        <v>58</v>
      </c>
    </row>
    <row r="46" spans="1:84">
      <c r="A46" s="1578" t="s">
        <v>1489</v>
      </c>
      <c r="B46" s="1568"/>
      <c r="C46" s="1568"/>
      <c r="D46" s="1568"/>
      <c r="E46" s="1568">
        <f t="shared" si="133"/>
        <v>0</v>
      </c>
      <c r="F46" s="1568"/>
      <c r="G46" s="1568"/>
      <c r="H46" s="1568"/>
      <c r="I46" s="1568">
        <f t="shared" si="134"/>
        <v>0</v>
      </c>
      <c r="J46" s="1568"/>
      <c r="K46" s="1568">
        <v>25.9</v>
      </c>
      <c r="L46" s="1568"/>
      <c r="M46" s="1568">
        <f t="shared" si="135"/>
        <v>25.9</v>
      </c>
      <c r="N46" s="1564">
        <f t="shared" si="155"/>
        <v>0</v>
      </c>
      <c r="O46" s="1564">
        <f t="shared" si="155"/>
        <v>25.9</v>
      </c>
      <c r="P46" s="1564">
        <f t="shared" si="155"/>
        <v>0</v>
      </c>
      <c r="Q46" s="1564">
        <f t="shared" si="156"/>
        <v>25.9</v>
      </c>
      <c r="R46" s="1568"/>
      <c r="S46" s="1568"/>
      <c r="T46" s="1568"/>
      <c r="U46" s="1568">
        <f t="shared" si="136"/>
        <v>0</v>
      </c>
      <c r="V46" s="1568"/>
      <c r="W46" s="1568"/>
      <c r="X46" s="1568"/>
      <c r="Y46" s="1568">
        <f t="shared" si="137"/>
        <v>0</v>
      </c>
      <c r="Z46" s="1568">
        <v>22</v>
      </c>
      <c r="AA46" s="1568">
        <v>3.9</v>
      </c>
      <c r="AB46" s="1568"/>
      <c r="AC46" s="1568">
        <f t="shared" si="138"/>
        <v>25.9</v>
      </c>
      <c r="AD46" s="1564">
        <f t="shared" si="159"/>
        <v>22</v>
      </c>
      <c r="AE46" s="1564">
        <f t="shared" si="159"/>
        <v>3.9</v>
      </c>
      <c r="AF46" s="1564">
        <f t="shared" si="159"/>
        <v>0</v>
      </c>
      <c r="AG46" s="1564">
        <f t="shared" si="160"/>
        <v>25.9</v>
      </c>
      <c r="AH46" s="1564">
        <f t="shared" si="139"/>
        <v>22</v>
      </c>
      <c r="AI46" s="1564">
        <f t="shared" si="139"/>
        <v>29.799999999999997</v>
      </c>
      <c r="AJ46" s="1564">
        <f t="shared" si="139"/>
        <v>0</v>
      </c>
      <c r="AK46" s="1564">
        <f>AH46+AI46+AJ46</f>
        <v>51.8</v>
      </c>
      <c r="AL46" s="1579"/>
      <c r="AM46" s="1579"/>
      <c r="AN46" s="1579"/>
      <c r="AO46" s="1579">
        <f t="shared" si="140"/>
        <v>0</v>
      </c>
      <c r="AP46" s="1579"/>
      <c r="AQ46" s="1579"/>
      <c r="AR46" s="1579"/>
      <c r="AS46" s="1579">
        <f t="shared" si="141"/>
        <v>0</v>
      </c>
      <c r="AT46" s="1579">
        <v>22</v>
      </c>
      <c r="AU46" s="1579">
        <v>3.9</v>
      </c>
      <c r="AV46" s="1579"/>
      <c r="AW46" s="1579">
        <f t="shared" si="142"/>
        <v>25.9</v>
      </c>
      <c r="AX46" s="1564">
        <f t="shared" si="143"/>
        <v>22</v>
      </c>
      <c r="AY46" s="1564">
        <f t="shared" si="143"/>
        <v>3.9</v>
      </c>
      <c r="AZ46" s="1564">
        <f t="shared" si="143"/>
        <v>0</v>
      </c>
      <c r="BA46" s="1564">
        <f t="shared" si="144"/>
        <v>25.9</v>
      </c>
      <c r="BB46" s="1564">
        <f t="shared" si="145"/>
        <v>44</v>
      </c>
      <c r="BC46" s="1564">
        <f t="shared" si="145"/>
        <v>33.699999999999996</v>
      </c>
      <c r="BD46" s="1564">
        <f t="shared" si="145"/>
        <v>0</v>
      </c>
      <c r="BE46" s="1564">
        <f t="shared" si="146"/>
        <v>77.699999999999989</v>
      </c>
      <c r="BF46" s="1580"/>
      <c r="BG46" s="1580"/>
      <c r="BH46" s="1580"/>
      <c r="BI46" s="1568">
        <f t="shared" si="147"/>
        <v>0</v>
      </c>
      <c r="BJ46" s="1580"/>
      <c r="BK46" s="1580"/>
      <c r="BL46" s="1580"/>
      <c r="BM46" s="1568">
        <f t="shared" si="148"/>
        <v>0</v>
      </c>
      <c r="BN46" s="1580"/>
      <c r="BO46" s="1580">
        <v>25.9</v>
      </c>
      <c r="BP46" s="1580"/>
      <c r="BQ46" s="1581">
        <f t="shared" si="149"/>
        <v>25.9</v>
      </c>
      <c r="BR46" s="1564">
        <f t="shared" si="150"/>
        <v>0</v>
      </c>
      <c r="BS46" s="1564">
        <f t="shared" si="150"/>
        <v>25.9</v>
      </c>
      <c r="BT46" s="1564">
        <f t="shared" si="150"/>
        <v>0</v>
      </c>
      <c r="BU46" s="1564">
        <f t="shared" si="151"/>
        <v>25.9</v>
      </c>
      <c r="BV46" s="1587">
        <v>69.227400000000003</v>
      </c>
      <c r="BW46" s="1565"/>
      <c r="BX46" s="1565">
        <v>34.37299999999999</v>
      </c>
      <c r="BY46" s="1565">
        <f t="shared" si="152"/>
        <v>0</v>
      </c>
      <c r="BZ46" s="1565">
        <f t="shared" si="153"/>
        <v>103.60039999999999</v>
      </c>
      <c r="CA46" s="1548">
        <f>BZ46-69.227</f>
        <v>34.37339999999999</v>
      </c>
    </row>
    <row r="47" spans="1:84">
      <c r="A47" s="1578" t="s">
        <v>1490</v>
      </c>
      <c r="B47" s="1568"/>
      <c r="C47" s="1568"/>
      <c r="D47" s="1568"/>
      <c r="E47" s="1568">
        <f t="shared" si="133"/>
        <v>0</v>
      </c>
      <c r="F47" s="1568"/>
      <c r="G47" s="1568"/>
      <c r="H47" s="1568"/>
      <c r="I47" s="1568">
        <f t="shared" si="134"/>
        <v>0</v>
      </c>
      <c r="J47" s="1568"/>
      <c r="K47" s="1568"/>
      <c r="L47" s="1568"/>
      <c r="M47" s="1568">
        <f t="shared" si="135"/>
        <v>0</v>
      </c>
      <c r="N47" s="1564">
        <f t="shared" si="155"/>
        <v>0</v>
      </c>
      <c r="O47" s="1564">
        <f t="shared" si="155"/>
        <v>0</v>
      </c>
      <c r="P47" s="1564">
        <f t="shared" si="155"/>
        <v>0</v>
      </c>
      <c r="Q47" s="1564">
        <f t="shared" si="156"/>
        <v>0</v>
      </c>
      <c r="R47" s="1568"/>
      <c r="S47" s="1568"/>
      <c r="T47" s="1568"/>
      <c r="U47" s="1568">
        <f t="shared" si="136"/>
        <v>0</v>
      </c>
      <c r="V47" s="1568"/>
      <c r="W47" s="1568"/>
      <c r="X47" s="1568"/>
      <c r="Y47" s="1568">
        <f t="shared" si="137"/>
        <v>0</v>
      </c>
      <c r="Z47" s="1568"/>
      <c r="AA47" s="1568"/>
      <c r="AB47" s="1568"/>
      <c r="AC47" s="1568">
        <f t="shared" si="138"/>
        <v>0</v>
      </c>
      <c r="AD47" s="1564">
        <f t="shared" si="159"/>
        <v>0</v>
      </c>
      <c r="AE47" s="1564">
        <f t="shared" si="159"/>
        <v>0</v>
      </c>
      <c r="AF47" s="1564">
        <f t="shared" si="159"/>
        <v>0</v>
      </c>
      <c r="AG47" s="1564">
        <f t="shared" si="160"/>
        <v>0</v>
      </c>
      <c r="AH47" s="1564">
        <f t="shared" si="139"/>
        <v>0</v>
      </c>
      <c r="AI47" s="1564">
        <f t="shared" si="139"/>
        <v>0</v>
      </c>
      <c r="AJ47" s="1564">
        <f t="shared" si="139"/>
        <v>0</v>
      </c>
      <c r="AK47" s="1564">
        <f>AH47+AI47+AJ47</f>
        <v>0</v>
      </c>
      <c r="AL47" s="1579"/>
      <c r="AM47" s="1579"/>
      <c r="AN47" s="1579"/>
      <c r="AO47" s="1579">
        <f t="shared" si="140"/>
        <v>0</v>
      </c>
      <c r="AP47" s="1579"/>
      <c r="AQ47" s="1579"/>
      <c r="AR47" s="1579"/>
      <c r="AS47" s="1579">
        <f t="shared" si="141"/>
        <v>0</v>
      </c>
      <c r="AT47" s="1579"/>
      <c r="AU47" s="1579"/>
      <c r="AV47" s="1579"/>
      <c r="AW47" s="1579">
        <f t="shared" si="142"/>
        <v>0</v>
      </c>
      <c r="AX47" s="1564">
        <f t="shared" si="143"/>
        <v>0</v>
      </c>
      <c r="AY47" s="1564">
        <f t="shared" si="143"/>
        <v>0</v>
      </c>
      <c r="AZ47" s="1564">
        <f t="shared" si="143"/>
        <v>0</v>
      </c>
      <c r="BA47" s="1564">
        <f t="shared" si="144"/>
        <v>0</v>
      </c>
      <c r="BB47" s="1564">
        <f t="shared" si="145"/>
        <v>0</v>
      </c>
      <c r="BC47" s="1564">
        <f t="shared" si="145"/>
        <v>0</v>
      </c>
      <c r="BD47" s="1564">
        <f t="shared" si="145"/>
        <v>0</v>
      </c>
      <c r="BE47" s="1564">
        <f t="shared" si="146"/>
        <v>0</v>
      </c>
      <c r="BF47" s="1580"/>
      <c r="BG47" s="1580"/>
      <c r="BH47" s="1580"/>
      <c r="BI47" s="1568">
        <f t="shared" si="147"/>
        <v>0</v>
      </c>
      <c r="BJ47" s="1580"/>
      <c r="BK47" s="1580"/>
      <c r="BL47" s="1580"/>
      <c r="BM47" s="1568">
        <f t="shared" si="148"/>
        <v>0</v>
      </c>
      <c r="BN47" s="1580"/>
      <c r="BO47" s="1580">
        <v>8.4</v>
      </c>
      <c r="BP47" s="1580"/>
      <c r="BQ47" s="1581">
        <f t="shared" si="149"/>
        <v>8.4</v>
      </c>
      <c r="BR47" s="1564">
        <f t="shared" si="150"/>
        <v>0</v>
      </c>
      <c r="BS47" s="1564">
        <f t="shared" si="150"/>
        <v>8.4</v>
      </c>
      <c r="BT47" s="1564">
        <f t="shared" si="150"/>
        <v>0</v>
      </c>
      <c r="BU47" s="1564">
        <f t="shared" si="151"/>
        <v>8.4</v>
      </c>
      <c r="BV47" s="1565">
        <f>BB47+BR47</f>
        <v>0</v>
      </c>
      <c r="BW47" s="1565"/>
      <c r="BX47" s="1565">
        <f t="shared" si="168"/>
        <v>8.4</v>
      </c>
      <c r="BY47" s="1565">
        <f t="shared" si="152"/>
        <v>0</v>
      </c>
      <c r="BZ47" s="1565">
        <f t="shared" si="153"/>
        <v>8.4</v>
      </c>
    </row>
    <row r="48" spans="1:84">
      <c r="A48" s="1578" t="s">
        <v>1491</v>
      </c>
      <c r="B48" s="1568"/>
      <c r="C48" s="1568"/>
      <c r="D48" s="1568"/>
      <c r="E48" s="1568">
        <f t="shared" si="133"/>
        <v>0</v>
      </c>
      <c r="F48" s="1568"/>
      <c r="G48" s="1568"/>
      <c r="H48" s="1568"/>
      <c r="I48" s="1568">
        <f t="shared" si="134"/>
        <v>0</v>
      </c>
      <c r="J48" s="1568">
        <v>419</v>
      </c>
      <c r="K48" s="1568">
        <v>38</v>
      </c>
      <c r="L48" s="1568"/>
      <c r="M48" s="1568">
        <f t="shared" si="135"/>
        <v>457</v>
      </c>
      <c r="N48" s="1564">
        <f t="shared" si="155"/>
        <v>419</v>
      </c>
      <c r="O48" s="1564">
        <f t="shared" si="155"/>
        <v>38</v>
      </c>
      <c r="P48" s="1564">
        <f t="shared" si="155"/>
        <v>0</v>
      </c>
      <c r="Q48" s="1564">
        <f t="shared" si="156"/>
        <v>457</v>
      </c>
      <c r="R48" s="1568"/>
      <c r="S48" s="1568"/>
      <c r="T48" s="1568"/>
      <c r="U48" s="1568">
        <f t="shared" si="136"/>
        <v>0</v>
      </c>
      <c r="V48" s="1568"/>
      <c r="W48" s="1568"/>
      <c r="X48" s="1568"/>
      <c r="Y48" s="1568">
        <f t="shared" si="137"/>
        <v>0</v>
      </c>
      <c r="Z48" s="1568">
        <v>403</v>
      </c>
      <c r="AA48" s="1568">
        <v>44.8</v>
      </c>
      <c r="AB48" s="1568"/>
      <c r="AC48" s="1568">
        <f t="shared" si="138"/>
        <v>447.8</v>
      </c>
      <c r="AD48" s="1564">
        <f t="shared" si="159"/>
        <v>403</v>
      </c>
      <c r="AE48" s="1564">
        <f t="shared" si="159"/>
        <v>44.8</v>
      </c>
      <c r="AF48" s="1564">
        <f t="shared" si="159"/>
        <v>0</v>
      </c>
      <c r="AG48" s="1564">
        <f t="shared" si="160"/>
        <v>447.8</v>
      </c>
      <c r="AH48" s="1564">
        <f t="shared" si="139"/>
        <v>822</v>
      </c>
      <c r="AI48" s="1564">
        <f t="shared" si="139"/>
        <v>82.8</v>
      </c>
      <c r="AJ48" s="1564">
        <f t="shared" si="139"/>
        <v>0</v>
      </c>
      <c r="AK48" s="1564">
        <f>AH48+AI48+AJ48</f>
        <v>904.8</v>
      </c>
      <c r="AL48" s="1579"/>
      <c r="AM48" s="1579"/>
      <c r="AN48" s="1579"/>
      <c r="AO48" s="1579">
        <f t="shared" si="140"/>
        <v>0</v>
      </c>
      <c r="AP48" s="1579"/>
      <c r="AQ48" s="1579"/>
      <c r="AR48" s="1579"/>
      <c r="AS48" s="1579">
        <f t="shared" si="141"/>
        <v>0</v>
      </c>
      <c r="AT48" s="1579">
        <v>404</v>
      </c>
      <c r="AU48" s="1579">
        <v>71</v>
      </c>
      <c r="AV48" s="1579"/>
      <c r="AW48" s="1579">
        <f t="shared" si="142"/>
        <v>475</v>
      </c>
      <c r="AX48" s="1564">
        <f t="shared" si="143"/>
        <v>404</v>
      </c>
      <c r="AY48" s="1564">
        <f t="shared" si="143"/>
        <v>71</v>
      </c>
      <c r="AZ48" s="1564">
        <f t="shared" si="143"/>
        <v>0</v>
      </c>
      <c r="BA48" s="1564">
        <f t="shared" si="144"/>
        <v>475</v>
      </c>
      <c r="BB48" s="1564">
        <f t="shared" si="145"/>
        <v>1226</v>
      </c>
      <c r="BC48" s="1564">
        <f t="shared" si="145"/>
        <v>153.80000000000001</v>
      </c>
      <c r="BD48" s="1564">
        <f t="shared" si="145"/>
        <v>0</v>
      </c>
      <c r="BE48" s="1564">
        <f t="shared" si="146"/>
        <v>1379.8</v>
      </c>
      <c r="BF48" s="1580"/>
      <c r="BG48" s="1580"/>
      <c r="BH48" s="1580"/>
      <c r="BI48" s="1568">
        <f t="shared" si="147"/>
        <v>0</v>
      </c>
      <c r="BJ48" s="1580"/>
      <c r="BK48" s="1580"/>
      <c r="BL48" s="1580"/>
      <c r="BM48" s="1568">
        <f t="shared" si="148"/>
        <v>0</v>
      </c>
      <c r="BN48" s="1580">
        <v>481</v>
      </c>
      <c r="BO48" s="1580">
        <v>30.9</v>
      </c>
      <c r="BP48" s="1580"/>
      <c r="BQ48" s="1581">
        <f t="shared" si="149"/>
        <v>511.9</v>
      </c>
      <c r="BR48" s="1564">
        <f t="shared" si="150"/>
        <v>481</v>
      </c>
      <c r="BS48" s="1564">
        <f t="shared" si="150"/>
        <v>30.9</v>
      </c>
      <c r="BT48" s="1564">
        <f t="shared" si="150"/>
        <v>0</v>
      </c>
      <c r="BU48" s="1564">
        <f t="shared" si="151"/>
        <v>511.9</v>
      </c>
      <c r="BV48" s="1587">
        <f>BB48+BR48</f>
        <v>1707</v>
      </c>
      <c r="BW48" s="1565"/>
      <c r="BX48" s="1565">
        <f>BC48+BS48-BW48</f>
        <v>184.70000000000002</v>
      </c>
      <c r="BY48" s="1565">
        <f t="shared" si="152"/>
        <v>0</v>
      </c>
      <c r="BZ48" s="1565">
        <f t="shared" si="153"/>
        <v>1891.7</v>
      </c>
      <c r="CF48" s="1547">
        <f>BY48/BY6</f>
        <v>0</v>
      </c>
    </row>
    <row r="49" spans="1:79">
      <c r="A49" s="1578" t="s">
        <v>1492</v>
      </c>
      <c r="B49" s="1568"/>
      <c r="C49" s="1568"/>
      <c r="D49" s="1568"/>
      <c r="E49" s="1568">
        <f t="shared" si="133"/>
        <v>0</v>
      </c>
      <c r="F49" s="1568"/>
      <c r="G49" s="1568"/>
      <c r="H49" s="1568"/>
      <c r="I49" s="1568">
        <f t="shared" si="134"/>
        <v>0</v>
      </c>
      <c r="J49" s="1568"/>
      <c r="K49" s="1568">
        <v>0.2</v>
      </c>
      <c r="L49" s="1568"/>
      <c r="M49" s="1568">
        <f t="shared" si="135"/>
        <v>0.2</v>
      </c>
      <c r="N49" s="1564">
        <f t="shared" si="155"/>
        <v>0</v>
      </c>
      <c r="O49" s="1564">
        <f t="shared" si="155"/>
        <v>0.2</v>
      </c>
      <c r="P49" s="1564">
        <f t="shared" si="155"/>
        <v>0</v>
      </c>
      <c r="Q49" s="1564">
        <f t="shared" si="156"/>
        <v>0.2</v>
      </c>
      <c r="R49" s="1568"/>
      <c r="S49" s="1568"/>
      <c r="T49" s="1568"/>
      <c r="U49" s="1568">
        <f t="shared" si="136"/>
        <v>0</v>
      </c>
      <c r="V49" s="1568"/>
      <c r="W49" s="1568"/>
      <c r="X49" s="1568"/>
      <c r="Y49" s="1568">
        <f t="shared" si="137"/>
        <v>0</v>
      </c>
      <c r="Z49" s="1568"/>
      <c r="AA49" s="1568">
        <v>0.2</v>
      </c>
      <c r="AB49" s="1568"/>
      <c r="AC49" s="1568">
        <f t="shared" si="138"/>
        <v>0.2</v>
      </c>
      <c r="AD49" s="1564">
        <f t="shared" si="159"/>
        <v>0</v>
      </c>
      <c r="AE49" s="1564">
        <f t="shared" si="159"/>
        <v>0.2</v>
      </c>
      <c r="AF49" s="1564">
        <f t="shared" si="159"/>
        <v>0</v>
      </c>
      <c r="AG49" s="1564">
        <f t="shared" si="160"/>
        <v>0.2</v>
      </c>
      <c r="AH49" s="1564">
        <f t="shared" si="139"/>
        <v>0</v>
      </c>
      <c r="AI49" s="1564">
        <f t="shared" si="139"/>
        <v>0.4</v>
      </c>
      <c r="AJ49" s="1564">
        <f t="shared" si="139"/>
        <v>0</v>
      </c>
      <c r="AK49" s="1564">
        <f>AH49+AI49+AJ49</f>
        <v>0.4</v>
      </c>
      <c r="AL49" s="1579"/>
      <c r="AM49" s="1579"/>
      <c r="AN49" s="1579"/>
      <c r="AO49" s="1579">
        <f t="shared" si="140"/>
        <v>0</v>
      </c>
      <c r="AP49" s="1579"/>
      <c r="AQ49" s="1579"/>
      <c r="AR49" s="1579"/>
      <c r="AS49" s="1579">
        <f t="shared" si="141"/>
        <v>0</v>
      </c>
      <c r="AT49" s="1579"/>
      <c r="AU49" s="1579">
        <v>0.2</v>
      </c>
      <c r="AV49" s="1579"/>
      <c r="AW49" s="1579">
        <f t="shared" si="142"/>
        <v>0.2</v>
      </c>
      <c r="AX49" s="1564">
        <f t="shared" si="143"/>
        <v>0</v>
      </c>
      <c r="AY49" s="1564">
        <f t="shared" si="143"/>
        <v>0.2</v>
      </c>
      <c r="AZ49" s="1564">
        <f t="shared" si="143"/>
        <v>0</v>
      </c>
      <c r="BA49" s="1564">
        <f t="shared" si="144"/>
        <v>0.2</v>
      </c>
      <c r="BB49" s="1564">
        <f t="shared" si="145"/>
        <v>0</v>
      </c>
      <c r="BC49" s="1564">
        <f t="shared" si="145"/>
        <v>0.60000000000000009</v>
      </c>
      <c r="BD49" s="1564">
        <f t="shared" si="145"/>
        <v>0</v>
      </c>
      <c r="BE49" s="1564">
        <f t="shared" si="146"/>
        <v>0.60000000000000009</v>
      </c>
      <c r="BF49" s="1580"/>
      <c r="BG49" s="1580"/>
      <c r="BH49" s="1580"/>
      <c r="BI49" s="1568">
        <f t="shared" si="147"/>
        <v>0</v>
      </c>
      <c r="BJ49" s="1580"/>
      <c r="BK49" s="1580"/>
      <c r="BL49" s="1580"/>
      <c r="BM49" s="1568">
        <f t="shared" si="148"/>
        <v>0</v>
      </c>
      <c r="BN49" s="1580"/>
      <c r="BO49" s="1580">
        <v>0.2</v>
      </c>
      <c r="BP49" s="1580"/>
      <c r="BQ49" s="1581">
        <f t="shared" si="149"/>
        <v>0.2</v>
      </c>
      <c r="BR49" s="1564">
        <f t="shared" si="150"/>
        <v>0</v>
      </c>
      <c r="BS49" s="1564">
        <f t="shared" si="150"/>
        <v>0.2</v>
      </c>
      <c r="BT49" s="1564">
        <f t="shared" si="150"/>
        <v>0</v>
      </c>
      <c r="BU49" s="1564">
        <f t="shared" si="151"/>
        <v>0.2</v>
      </c>
      <c r="BV49" s="1565">
        <f>BB49+BR49</f>
        <v>0</v>
      </c>
      <c r="BW49" s="1565"/>
      <c r="BX49" s="1565">
        <f t="shared" si="168"/>
        <v>0.8</v>
      </c>
      <c r="BY49" s="1565">
        <f t="shared" si="152"/>
        <v>0</v>
      </c>
      <c r="BZ49" s="1565">
        <f t="shared" si="153"/>
        <v>0.8</v>
      </c>
    </row>
    <row r="51" spans="1:79">
      <c r="A51" s="1584" t="s">
        <v>1493</v>
      </c>
      <c r="B51" s="1568">
        <v>4914.7</v>
      </c>
      <c r="C51" s="1568"/>
      <c r="D51" s="1568"/>
      <c r="E51" s="1568">
        <f>B51+C51</f>
        <v>4914.7</v>
      </c>
      <c r="F51" s="1568">
        <v>2417.6</v>
      </c>
      <c r="G51" s="1568"/>
      <c r="H51" s="1568"/>
      <c r="I51" s="1568">
        <f>F51+G51</f>
        <v>2417.6</v>
      </c>
      <c r="J51" s="1568">
        <v>2020</v>
      </c>
      <c r="K51" s="1568"/>
      <c r="L51" s="1568"/>
      <c r="M51" s="1568">
        <f>J51+K51</f>
        <v>2020</v>
      </c>
      <c r="N51" s="1564">
        <f>B51+F51+J51</f>
        <v>9352.2999999999993</v>
      </c>
      <c r="O51" s="1564">
        <f>C51+G51+K51</f>
        <v>0</v>
      </c>
      <c r="P51" s="1564">
        <f>D51+H51+L51</f>
        <v>0</v>
      </c>
      <c r="Q51" s="1564">
        <f>N51+O51+P51</f>
        <v>9352.2999999999993</v>
      </c>
      <c r="R51" s="1568">
        <v>3126.7</v>
      </c>
      <c r="S51" s="1568"/>
      <c r="T51" s="1568"/>
      <c r="U51" s="1568">
        <f>R51+S51</f>
        <v>3126.7</v>
      </c>
      <c r="V51" s="1568">
        <v>2426</v>
      </c>
      <c r="W51" s="1568"/>
      <c r="X51" s="1568"/>
      <c r="Y51" s="1568">
        <f>V51+W51</f>
        <v>2426</v>
      </c>
      <c r="Z51" s="1568">
        <v>636.9</v>
      </c>
      <c r="AA51" s="1568"/>
      <c r="AB51" s="1568"/>
      <c r="AC51" s="1568">
        <f>Z51+AA51</f>
        <v>636.9</v>
      </c>
      <c r="AD51" s="1564">
        <f>R51+V51+Z51</f>
        <v>6189.5999999999995</v>
      </c>
      <c r="AE51" s="1564">
        <f>S51+W51+AA51</f>
        <v>0</v>
      </c>
      <c r="AF51" s="1564">
        <f>T51+X51+AB51</f>
        <v>0</v>
      </c>
      <c r="AG51" s="1564">
        <f>AD51+AE51+AF51</f>
        <v>6189.5999999999995</v>
      </c>
      <c r="AH51" s="1564">
        <f>N51+AD51</f>
        <v>15541.899999999998</v>
      </c>
      <c r="AI51" s="1564">
        <f>O51+AE51</f>
        <v>0</v>
      </c>
      <c r="AJ51" s="1564">
        <f>P51+AF51</f>
        <v>0</v>
      </c>
      <c r="AK51" s="1564">
        <f>AH51+AI51+AJ51</f>
        <v>15541.899999999998</v>
      </c>
      <c r="AL51" s="1579">
        <v>1425.9</v>
      </c>
      <c r="AM51" s="1579"/>
      <c r="AN51" s="1579"/>
      <c r="AO51" s="1579">
        <f>AL51+AM51</f>
        <v>1425.9</v>
      </c>
      <c r="AP51" s="1579">
        <v>1316.6</v>
      </c>
      <c r="AQ51" s="1579"/>
      <c r="AR51" s="1579"/>
      <c r="AS51" s="1579">
        <f>AP51+AQ51</f>
        <v>1316.6</v>
      </c>
      <c r="AT51" s="1579">
        <v>1339</v>
      </c>
      <c r="AU51" s="1579"/>
      <c r="AV51" s="1579"/>
      <c r="AW51" s="1579">
        <f>AT51+AU51</f>
        <v>1339</v>
      </c>
      <c r="AX51" s="1564">
        <f>AL51+AP51+AT51</f>
        <v>4081.5</v>
      </c>
      <c r="AY51" s="1564">
        <f>AM51+AQ51+AU51</f>
        <v>0</v>
      </c>
      <c r="AZ51" s="1564">
        <f>AN51+AR51+AV51</f>
        <v>0</v>
      </c>
      <c r="BA51" s="1564">
        <f>AX51+AY51+AZ51</f>
        <v>4081.5</v>
      </c>
      <c r="BB51" s="1564">
        <f>AH51+AX51</f>
        <v>19623.399999999998</v>
      </c>
      <c r="BC51" s="1564">
        <f>AI51+AY51</f>
        <v>0</v>
      </c>
      <c r="BD51" s="1564">
        <f>AJ51+AZ51</f>
        <v>0</v>
      </c>
      <c r="BE51" s="1564">
        <f>BB51+BC51+BD51</f>
        <v>19623.399999999998</v>
      </c>
      <c r="BF51" s="1579">
        <v>2819.8</v>
      </c>
      <c r="BG51" s="1579"/>
      <c r="BH51" s="1579"/>
      <c r="BI51" s="1568">
        <f>BF51+BG51</f>
        <v>2819.8</v>
      </c>
      <c r="BJ51" s="1579">
        <v>2694.2</v>
      </c>
      <c r="BK51" s="1579"/>
      <c r="BL51" s="1580"/>
      <c r="BM51" s="1568">
        <f>BJ51+BK51</f>
        <v>2694.2</v>
      </c>
      <c r="BN51" s="1580">
        <v>2917</v>
      </c>
      <c r="BO51" s="1580"/>
      <c r="BP51" s="1580"/>
      <c r="BQ51" s="1581">
        <f>BN51+BO51+BP51</f>
        <v>2917</v>
      </c>
      <c r="BR51" s="1564">
        <f>BF51+BJ51+BN51</f>
        <v>8431</v>
      </c>
      <c r="BS51" s="1564">
        <f>BG51+BK51+BO51</f>
        <v>0</v>
      </c>
      <c r="BT51" s="1564">
        <f>BH51+BL51+BP51</f>
        <v>0</v>
      </c>
      <c r="BU51" s="1564">
        <f>BR51+BS51+BT51</f>
        <v>8431</v>
      </c>
      <c r="BV51" s="1587">
        <f>BB51+BR51</f>
        <v>28054.399999999998</v>
      </c>
      <c r="BW51" s="1565"/>
      <c r="BX51" s="1565">
        <f>BC51+BS51-BW51</f>
        <v>0</v>
      </c>
      <c r="BY51" s="1565">
        <f>BD51+BT51</f>
        <v>0</v>
      </c>
      <c r="BZ51" s="1565">
        <f>BV51+BX51+BY51+BW51</f>
        <v>28054.399999999998</v>
      </c>
      <c r="CA51" s="1566"/>
    </row>
    <row r="55" spans="1:79">
      <c r="A55" s="1591" t="s">
        <v>1494</v>
      </c>
      <c r="B55" s="1568"/>
      <c r="C55" s="1568"/>
      <c r="D55" s="1568"/>
      <c r="E55" s="1568">
        <f t="shared" ref="E55:E57" si="169">B55+C55</f>
        <v>0</v>
      </c>
      <c r="F55" s="1568"/>
      <c r="G55" s="1568"/>
      <c r="H55" s="1568"/>
      <c r="I55" s="1568">
        <f t="shared" ref="I55:I57" si="170">F55+G55</f>
        <v>0</v>
      </c>
      <c r="J55" s="1568"/>
      <c r="K55" s="1568">
        <v>1422</v>
      </c>
      <c r="L55" s="1568"/>
      <c r="M55" s="1568">
        <f t="shared" ref="M55:M57" si="171">J55+K55</f>
        <v>1422</v>
      </c>
      <c r="N55" s="1572"/>
      <c r="O55" s="1572"/>
      <c r="P55" s="1572"/>
      <c r="Q55" s="1572"/>
      <c r="R55" s="1568"/>
      <c r="S55" s="1568">
        <v>3159</v>
      </c>
      <c r="T55" s="1568"/>
      <c r="U55" s="1568">
        <f t="shared" ref="U55:U57" si="172">R55+S55</f>
        <v>3159</v>
      </c>
      <c r="V55" s="1568"/>
      <c r="W55" s="1568">
        <v>2854.7</v>
      </c>
      <c r="X55" s="1568"/>
      <c r="Y55" s="1568">
        <f t="shared" ref="Y55:Y57" si="173">V55+W55</f>
        <v>2854.7</v>
      </c>
      <c r="Z55" s="1568"/>
      <c r="AA55" s="1568">
        <v>1794.9</v>
      </c>
      <c r="AB55" s="1568"/>
      <c r="AC55" s="1568">
        <f t="shared" ref="AC55:AC57" si="174">Z55+AA55</f>
        <v>1794.9</v>
      </c>
      <c r="AD55" s="1564"/>
      <c r="AE55" s="1564"/>
      <c r="AF55" s="1564"/>
      <c r="AG55" s="1564"/>
      <c r="AH55" s="1564"/>
      <c r="AI55" s="1564"/>
      <c r="AJ55" s="1564"/>
      <c r="AK55" s="1564"/>
      <c r="AL55" s="1579"/>
      <c r="AM55" s="1579"/>
      <c r="AN55" s="1579"/>
      <c r="AO55" s="1579">
        <f t="shared" ref="AO55:AO57" si="175">AL55+AM55</f>
        <v>0</v>
      </c>
      <c r="AP55" s="1579"/>
      <c r="AQ55" s="1579"/>
      <c r="AR55" s="1579"/>
      <c r="AS55" s="1579">
        <f t="shared" ref="AS55:AS57" si="176">AP55+AQ55</f>
        <v>0</v>
      </c>
      <c r="AT55" s="1579"/>
      <c r="AU55" s="1579"/>
      <c r="AV55" s="1579"/>
      <c r="AW55" s="1579">
        <f t="shared" ref="AW55:AW57" si="177">AT55+AU55</f>
        <v>0</v>
      </c>
      <c r="AX55" s="1564"/>
      <c r="AY55" s="1564"/>
      <c r="AZ55" s="1564"/>
      <c r="BA55" s="1564"/>
      <c r="BB55" s="1564"/>
      <c r="BC55" s="1564"/>
      <c r="BD55" s="1564"/>
      <c r="BE55" s="1564"/>
      <c r="BF55" s="1580"/>
      <c r="BG55" s="1580"/>
      <c r="BH55" s="1580"/>
      <c r="BI55" s="1568">
        <f t="shared" ref="BI55:BI57" si="178">BF55+BG55</f>
        <v>0</v>
      </c>
      <c r="BJ55" s="1580"/>
      <c r="BK55" s="1580"/>
      <c r="BL55" s="1580"/>
      <c r="BM55" s="1568">
        <f t="shared" ref="BM55:BM57" si="179">BJ55+BK55</f>
        <v>0</v>
      </c>
      <c r="BN55" s="1580"/>
      <c r="BO55" s="1580"/>
      <c r="BP55" s="1580"/>
      <c r="BQ55" s="1581">
        <f t="shared" si="128"/>
        <v>0</v>
      </c>
      <c r="BR55" s="1564"/>
      <c r="BS55" s="1564"/>
      <c r="BT55" s="1564"/>
      <c r="BU55" s="1564"/>
      <c r="BV55" s="1565"/>
      <c r="BW55" s="1565"/>
      <c r="BX55" s="1565"/>
      <c r="BY55" s="1565"/>
      <c r="BZ55" s="1565"/>
    </row>
    <row r="56" spans="1:79">
      <c r="A56" s="1591" t="s">
        <v>1495</v>
      </c>
      <c r="B56" s="1568"/>
      <c r="C56" s="1568"/>
      <c r="D56" s="1568"/>
      <c r="E56" s="1568">
        <f t="shared" si="169"/>
        <v>0</v>
      </c>
      <c r="F56" s="1568"/>
      <c r="G56" s="1568"/>
      <c r="H56" s="1568"/>
      <c r="I56" s="1568">
        <f t="shared" si="170"/>
        <v>0</v>
      </c>
      <c r="J56" s="1568"/>
      <c r="K56" s="1568">
        <v>688.3</v>
      </c>
      <c r="L56" s="1568"/>
      <c r="M56" s="1568">
        <f t="shared" si="171"/>
        <v>688.3</v>
      </c>
      <c r="N56" s="1572"/>
      <c r="O56" s="1572"/>
      <c r="P56" s="1572"/>
      <c r="Q56" s="1572"/>
      <c r="R56" s="1568"/>
      <c r="S56" s="1568">
        <v>443.6</v>
      </c>
      <c r="T56" s="1568"/>
      <c r="U56" s="1568">
        <f t="shared" si="172"/>
        <v>443.6</v>
      </c>
      <c r="V56" s="1568"/>
      <c r="W56" s="1568">
        <v>449.7</v>
      </c>
      <c r="X56" s="1568"/>
      <c r="Y56" s="1568">
        <f t="shared" si="173"/>
        <v>449.7</v>
      </c>
      <c r="Z56" s="1568"/>
      <c r="AA56" s="1568">
        <v>934.3</v>
      </c>
      <c r="AB56" s="1568"/>
      <c r="AC56" s="1568">
        <f t="shared" si="174"/>
        <v>934.3</v>
      </c>
      <c r="AD56" s="1564"/>
      <c r="AE56" s="1564"/>
      <c r="AF56" s="1564"/>
      <c r="AG56" s="1564"/>
      <c r="AH56" s="1564"/>
      <c r="AI56" s="1564"/>
      <c r="AJ56" s="1564"/>
      <c r="AK56" s="1564"/>
      <c r="AL56" s="1579"/>
      <c r="AM56" s="1579"/>
      <c r="AN56" s="1579"/>
      <c r="AO56" s="1579">
        <f t="shared" si="175"/>
        <v>0</v>
      </c>
      <c r="AP56" s="1579"/>
      <c r="AQ56" s="1579"/>
      <c r="AR56" s="1579"/>
      <c r="AS56" s="1579">
        <f t="shared" si="176"/>
        <v>0</v>
      </c>
      <c r="AT56" s="1579"/>
      <c r="AU56" s="1579"/>
      <c r="AV56" s="1579"/>
      <c r="AW56" s="1579">
        <f t="shared" si="177"/>
        <v>0</v>
      </c>
      <c r="AX56" s="1564"/>
      <c r="AY56" s="1564"/>
      <c r="AZ56" s="1564"/>
      <c r="BA56" s="1564"/>
      <c r="BB56" s="1564"/>
      <c r="BC56" s="1564"/>
      <c r="BD56" s="1564"/>
      <c r="BE56" s="1564"/>
      <c r="BF56" s="1580"/>
      <c r="BG56" s="1580"/>
      <c r="BH56" s="1580"/>
      <c r="BI56" s="1568">
        <f t="shared" si="178"/>
        <v>0</v>
      </c>
      <c r="BJ56" s="1580"/>
      <c r="BK56" s="1580"/>
      <c r="BL56" s="1580"/>
      <c r="BM56" s="1568">
        <f t="shared" si="179"/>
        <v>0</v>
      </c>
      <c r="BN56" s="1580"/>
      <c r="BO56" s="1580"/>
      <c r="BP56" s="1580"/>
      <c r="BQ56" s="1581">
        <f t="shared" si="128"/>
        <v>0</v>
      </c>
      <c r="BR56" s="1564"/>
      <c r="BS56" s="1564"/>
      <c r="BT56" s="1564"/>
      <c r="BU56" s="1564"/>
      <c r="BV56" s="1565"/>
      <c r="BW56" s="1565"/>
      <c r="BX56" s="1565"/>
      <c r="BY56" s="1565"/>
      <c r="BZ56" s="1565"/>
    </row>
    <row r="57" spans="1:79">
      <c r="A57" s="1591" t="s">
        <v>851</v>
      </c>
      <c r="B57" s="1568"/>
      <c r="C57" s="1568"/>
      <c r="D57" s="1568"/>
      <c r="E57" s="1568">
        <f t="shared" si="169"/>
        <v>0</v>
      </c>
      <c r="F57" s="1568"/>
      <c r="G57" s="1568"/>
      <c r="H57" s="1568"/>
      <c r="I57" s="1568">
        <f t="shared" si="170"/>
        <v>0</v>
      </c>
      <c r="J57" s="1568"/>
      <c r="K57" s="1568">
        <v>3622</v>
      </c>
      <c r="L57" s="1568"/>
      <c r="M57" s="1568">
        <f t="shared" si="171"/>
        <v>3622</v>
      </c>
      <c r="N57" s="1572"/>
      <c r="O57" s="1572"/>
      <c r="P57" s="1572"/>
      <c r="Q57" s="1572"/>
      <c r="R57" s="1568"/>
      <c r="S57" s="1568">
        <v>3452</v>
      </c>
      <c r="T57" s="1568"/>
      <c r="U57" s="1568">
        <f t="shared" si="172"/>
        <v>3452</v>
      </c>
      <c r="V57" s="1568"/>
      <c r="W57" s="1568">
        <v>3428.6</v>
      </c>
      <c r="X57" s="1568"/>
      <c r="Y57" s="1568">
        <f t="shared" si="173"/>
        <v>3428.6</v>
      </c>
      <c r="Z57" s="1568"/>
      <c r="AA57" s="1568">
        <v>4427.8</v>
      </c>
      <c r="AB57" s="1568"/>
      <c r="AC57" s="1568">
        <f t="shared" si="174"/>
        <v>4427.8</v>
      </c>
      <c r="AD57" s="1564"/>
      <c r="AE57" s="1564"/>
      <c r="AF57" s="1564"/>
      <c r="AG57" s="1564"/>
      <c r="AH57" s="1564"/>
      <c r="AI57" s="1564"/>
      <c r="AJ57" s="1564"/>
      <c r="AK57" s="1564"/>
      <c r="AL57" s="1579"/>
      <c r="AM57" s="1579"/>
      <c r="AN57" s="1579"/>
      <c r="AO57" s="1579">
        <f t="shared" si="175"/>
        <v>0</v>
      </c>
      <c r="AP57" s="1579"/>
      <c r="AQ57" s="1579"/>
      <c r="AR57" s="1579"/>
      <c r="AS57" s="1579">
        <f t="shared" si="176"/>
        <v>0</v>
      </c>
      <c r="AT57" s="1579"/>
      <c r="AU57" s="1579"/>
      <c r="AV57" s="1579"/>
      <c r="AW57" s="1579">
        <f t="shared" si="177"/>
        <v>0</v>
      </c>
      <c r="AX57" s="1564"/>
      <c r="AY57" s="1564"/>
      <c r="AZ57" s="1564"/>
      <c r="BA57" s="1564"/>
      <c r="BB57" s="1564"/>
      <c r="BC57" s="1564"/>
      <c r="BD57" s="1564"/>
      <c r="BE57" s="1564"/>
      <c r="BF57" s="1580"/>
      <c r="BG57" s="1580"/>
      <c r="BH57" s="1580"/>
      <c r="BI57" s="1568">
        <f t="shared" si="178"/>
        <v>0</v>
      </c>
      <c r="BJ57" s="1580"/>
      <c r="BK57" s="1580"/>
      <c r="BL57" s="1580"/>
      <c r="BM57" s="1568">
        <f t="shared" si="179"/>
        <v>0</v>
      </c>
      <c r="BN57" s="1580"/>
      <c r="BO57" s="1580"/>
      <c r="BP57" s="1580"/>
      <c r="BQ57" s="1581">
        <f t="shared" si="128"/>
        <v>0</v>
      </c>
      <c r="BR57" s="1564"/>
      <c r="BS57" s="1564"/>
      <c r="BT57" s="1564"/>
      <c r="BU57" s="1564"/>
      <c r="BV57" s="1565"/>
      <c r="BW57" s="1565"/>
      <c r="BX57" s="1565"/>
      <c r="BY57" s="1565"/>
      <c r="BZ57" s="1565"/>
    </row>
    <row r="58" spans="1:79">
      <c r="A58" s="1591" t="s">
        <v>1496</v>
      </c>
      <c r="B58" s="1592">
        <f t="shared" ref="B58:AC58" si="180">B6-B12-B44</f>
        <v>3951</v>
      </c>
      <c r="C58" s="1592">
        <f t="shared" si="180"/>
        <v>3.0999999999997954</v>
      </c>
      <c r="D58" s="1592">
        <f t="shared" si="180"/>
        <v>84</v>
      </c>
      <c r="E58" s="1592">
        <f t="shared" si="180"/>
        <v>4038.1</v>
      </c>
      <c r="F58" s="1592">
        <f t="shared" si="180"/>
        <v>3739</v>
      </c>
      <c r="G58" s="1592">
        <f t="shared" si="180"/>
        <v>-112.70000000000005</v>
      </c>
      <c r="H58" s="1592">
        <f t="shared" si="180"/>
        <v>0</v>
      </c>
      <c r="I58" s="1592">
        <f t="shared" si="180"/>
        <v>3626.3</v>
      </c>
      <c r="J58" s="1592">
        <f t="shared" si="180"/>
        <v>2752.9</v>
      </c>
      <c r="K58" s="1592">
        <f t="shared" si="180"/>
        <v>-392.6</v>
      </c>
      <c r="L58" s="1592">
        <f t="shared" si="180"/>
        <v>0</v>
      </c>
      <c r="M58" s="1592">
        <f t="shared" si="180"/>
        <v>2360.3000000000006</v>
      </c>
      <c r="N58" s="1593">
        <f t="shared" si="180"/>
        <v>10442.900000000001</v>
      </c>
      <c r="O58" s="1593">
        <f t="shared" si="180"/>
        <v>-502.19999999999993</v>
      </c>
      <c r="P58" s="1593">
        <f t="shared" si="180"/>
        <v>84</v>
      </c>
      <c r="Q58" s="1593">
        <f t="shared" si="180"/>
        <v>10024.700000000001</v>
      </c>
      <c r="R58" s="1592">
        <f t="shared" si="180"/>
        <v>3493.7</v>
      </c>
      <c r="S58" s="1592">
        <f t="shared" si="180"/>
        <v>-274.46000000000009</v>
      </c>
      <c r="T58" s="1592">
        <f t="shared" si="180"/>
        <v>0</v>
      </c>
      <c r="U58" s="1592">
        <f t="shared" si="180"/>
        <v>3219.24</v>
      </c>
      <c r="V58" s="1592">
        <f t="shared" si="180"/>
        <v>3279.7</v>
      </c>
      <c r="W58" s="1592">
        <f t="shared" si="180"/>
        <v>-152.60000000000002</v>
      </c>
      <c r="X58" s="1592">
        <f t="shared" si="180"/>
        <v>1.3</v>
      </c>
      <c r="Y58" s="1592">
        <f t="shared" si="180"/>
        <v>3128.3999999999996</v>
      </c>
      <c r="Z58" s="1592">
        <f t="shared" si="180"/>
        <v>3140.2000000000003</v>
      </c>
      <c r="AA58" s="1592">
        <f t="shared" si="180"/>
        <v>39.099999999999909</v>
      </c>
      <c r="AB58" s="1592">
        <f t="shared" si="180"/>
        <v>1.6</v>
      </c>
      <c r="AC58" s="1592">
        <f t="shared" si="180"/>
        <v>3180.900000000001</v>
      </c>
      <c r="AD58" s="1564">
        <f t="shared" ref="AD58:AE58" si="181">R58+V58+Z58</f>
        <v>9913.6</v>
      </c>
      <c r="AE58" s="1564">
        <f t="shared" si="181"/>
        <v>-387.96000000000021</v>
      </c>
      <c r="AF58" s="1564">
        <f>AF6-AF12-AF44</f>
        <v>2.9000000000000004</v>
      </c>
      <c r="AG58" s="1564">
        <f t="shared" ref="AG58" si="182">AD58+AE58+AF58</f>
        <v>9528.5399999999991</v>
      </c>
      <c r="AH58" s="1564">
        <f>N58+AD58</f>
        <v>20356.5</v>
      </c>
      <c r="AI58" s="1564">
        <f>O58+AE58</f>
        <v>-890.16000000000008</v>
      </c>
      <c r="AJ58" s="1564">
        <f>P58+AF58</f>
        <v>86.9</v>
      </c>
      <c r="AK58" s="1564">
        <f t="shared" ref="AK58" si="183">AH58+AI58+AJ58</f>
        <v>19553.240000000002</v>
      </c>
      <c r="AL58" s="1594">
        <f t="shared" ref="AL58:AW58" si="184">AL6-AL12-AL44</f>
        <v>3561</v>
      </c>
      <c r="AM58" s="1594">
        <f t="shared" si="184"/>
        <v>-83.299999999999955</v>
      </c>
      <c r="AN58" s="1594">
        <f t="shared" si="184"/>
        <v>0</v>
      </c>
      <c r="AO58" s="1594">
        <f t="shared" si="184"/>
        <v>3477.7</v>
      </c>
      <c r="AP58" s="1594">
        <f t="shared" si="184"/>
        <v>3397.0700000000006</v>
      </c>
      <c r="AQ58" s="1594">
        <f t="shared" si="184"/>
        <v>-128.20000000000027</v>
      </c>
      <c r="AR58" s="1594">
        <f t="shared" si="184"/>
        <v>1.06</v>
      </c>
      <c r="AS58" s="1594">
        <f t="shared" si="184"/>
        <v>3269.9300000000003</v>
      </c>
      <c r="AT58" s="1594">
        <f t="shared" si="184"/>
        <v>3330.1</v>
      </c>
      <c r="AU58" s="1594">
        <f t="shared" si="184"/>
        <v>95.400000000000091</v>
      </c>
      <c r="AV58" s="1594">
        <f t="shared" si="184"/>
        <v>1.4</v>
      </c>
      <c r="AW58" s="1594">
        <f t="shared" si="184"/>
        <v>3426.8999999999996</v>
      </c>
      <c r="AX58" s="1564">
        <f t="shared" ref="AX58:AY58" si="185">AL58+AP58+AT58</f>
        <v>10288.17</v>
      </c>
      <c r="AY58" s="1564">
        <f t="shared" si="185"/>
        <v>-116.10000000000014</v>
      </c>
      <c r="AZ58" s="1564">
        <f>AZ6-AZ12-AZ44</f>
        <v>2.46</v>
      </c>
      <c r="BA58" s="1564">
        <f t="shared" ref="BA58" si="186">AX58+AY58+AZ58</f>
        <v>10174.529999999999</v>
      </c>
      <c r="BB58" s="1564">
        <f t="shared" ref="BB58:BD58" si="187">AH58+AX58</f>
        <v>30644.67</v>
      </c>
      <c r="BC58" s="1564">
        <f t="shared" si="187"/>
        <v>-1006.2600000000002</v>
      </c>
      <c r="BD58" s="1564">
        <f t="shared" si="187"/>
        <v>89.36</v>
      </c>
      <c r="BE58" s="1564">
        <f t="shared" ref="BE58" si="188">BB58+BC58+BD58</f>
        <v>29727.769999999997</v>
      </c>
      <c r="BF58" s="1595">
        <f t="shared" ref="BF58:BQ58" si="189">BF6-BF12-BF44</f>
        <v>3519.91</v>
      </c>
      <c r="BG58" s="1595">
        <f t="shared" si="189"/>
        <v>-39.410000000000082</v>
      </c>
      <c r="BH58" s="1595">
        <f t="shared" si="189"/>
        <v>4.9000000000000004</v>
      </c>
      <c r="BI58" s="1595">
        <f t="shared" si="189"/>
        <v>3485.4</v>
      </c>
      <c r="BJ58" s="1595">
        <f t="shared" si="189"/>
        <v>3089.8900000000003</v>
      </c>
      <c r="BK58" s="1595">
        <f t="shared" si="189"/>
        <v>471.06000000000017</v>
      </c>
      <c r="BL58" s="1595">
        <f t="shared" si="189"/>
        <v>2.0579999999999998</v>
      </c>
      <c r="BM58" s="1595">
        <f t="shared" si="189"/>
        <v>3563.0080000000007</v>
      </c>
      <c r="BN58" s="1595">
        <f t="shared" si="189"/>
        <v>2400.0499999999997</v>
      </c>
      <c r="BO58" s="1595">
        <f t="shared" si="189"/>
        <v>-417.05000000000013</v>
      </c>
      <c r="BP58" s="1595">
        <f t="shared" si="189"/>
        <v>84.25</v>
      </c>
      <c r="BQ58" s="1595">
        <f t="shared" si="189"/>
        <v>2067.2499999999991</v>
      </c>
      <c r="BR58" s="1564">
        <f t="shared" ref="BR58:BS58" si="190">BF58+BJ58+BN58</f>
        <v>9009.85</v>
      </c>
      <c r="BS58" s="1564">
        <f t="shared" si="190"/>
        <v>14.599999999999966</v>
      </c>
      <c r="BT58" s="1564">
        <f>BT6-BT12-BT44</f>
        <v>91.207999999999998</v>
      </c>
      <c r="BU58" s="1564">
        <f t="shared" ref="BU58" si="191">BR58+BS58+BT58</f>
        <v>9115.6580000000013</v>
      </c>
      <c r="BV58" s="1565">
        <f>BV6-BV13-BV44</f>
        <v>36978.709600000002</v>
      </c>
      <c r="BW58" s="1565">
        <f>BW6-BW13-BW44</f>
        <v>-13.812649356450148</v>
      </c>
      <c r="BX58" s="1565">
        <f>BC58+BS58</f>
        <v>-991.66000000000031</v>
      </c>
      <c r="BY58" s="1565">
        <f t="shared" ref="BY58" si="192">BD58+BT58</f>
        <v>180.56799999999998</v>
      </c>
      <c r="BZ58" s="1565">
        <f>BV58+BX58+BY58</f>
        <v>36167.617599999998</v>
      </c>
      <c r="CA58" s="1547" t="s">
        <v>1497</v>
      </c>
    </row>
    <row r="59" spans="1:79">
      <c r="A59" s="1596" t="s">
        <v>1498</v>
      </c>
    </row>
  </sheetData>
  <mergeCells count="20">
    <mergeCell ref="AP3:AS3"/>
    <mergeCell ref="A3:A4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AL3:AO3"/>
    <mergeCell ref="BR3:BU3"/>
    <mergeCell ref="BV3:BZ3"/>
    <mergeCell ref="AT3:AW3"/>
    <mergeCell ref="AX3:BA3"/>
    <mergeCell ref="BB3:BE3"/>
    <mergeCell ref="BF3:BI3"/>
    <mergeCell ref="BJ3:BM3"/>
    <mergeCell ref="BN3:BQ3"/>
  </mergeCells>
  <pageMargins left="0.7" right="0.7" top="0.75" bottom="0.75" header="0.3" footer="0.3"/>
  <pageSetup paperSize="9" scale="56" orientation="landscape" verticalDpi="0" r:id="rId1"/>
  <colBreaks count="3" manualBreakCount="3">
    <brk id="17" max="47" man="1"/>
    <brk id="37" max="47" man="1"/>
    <brk id="57" max="47" man="1"/>
  </colBreaks>
</worksheet>
</file>

<file path=xl/worksheets/sheet39.xml><?xml version="1.0" encoding="utf-8"?>
<worksheet xmlns="http://schemas.openxmlformats.org/spreadsheetml/2006/main" xmlns:r="http://schemas.openxmlformats.org/officeDocument/2006/relationships">
  <dimension ref="B6:I25"/>
  <sheetViews>
    <sheetView workbookViewId="0"/>
  </sheetViews>
  <sheetFormatPr defaultRowHeight="12.75"/>
  <cols>
    <col min="5" max="5" width="16.5703125" customWidth="1"/>
    <col min="6" max="6" width="12.42578125" customWidth="1"/>
    <col min="7" max="7" width="14.7109375" customWidth="1"/>
    <col min="8" max="8" width="15.5703125" customWidth="1"/>
    <col min="9" max="9" width="13.28515625" customWidth="1"/>
  </cols>
  <sheetData>
    <row r="6" spans="2:9" ht="30" customHeight="1">
      <c r="B6" s="1944" t="s">
        <v>1032</v>
      </c>
      <c r="C6" s="1944"/>
      <c r="D6" s="1944"/>
      <c r="E6" s="1944"/>
      <c r="F6" s="1944"/>
      <c r="G6" s="1944"/>
      <c r="H6" s="1944"/>
      <c r="I6" s="1944"/>
    </row>
    <row r="9" spans="2:9">
      <c r="B9" s="1939" t="s">
        <v>1010</v>
      </c>
      <c r="C9" s="1939" t="s">
        <v>793</v>
      </c>
      <c r="D9" s="1939" t="s">
        <v>1011</v>
      </c>
      <c r="E9" s="1939" t="s">
        <v>1012</v>
      </c>
      <c r="F9" s="1939" t="s">
        <v>1013</v>
      </c>
      <c r="G9" s="1939" t="s">
        <v>1014</v>
      </c>
      <c r="H9" s="1939"/>
      <c r="I9" s="1939"/>
    </row>
    <row r="10" spans="2:9">
      <c r="B10" s="1939"/>
      <c r="C10" s="1939"/>
      <c r="D10" s="1939"/>
      <c r="E10" s="1939"/>
      <c r="F10" s="1939"/>
      <c r="G10" s="238" t="s">
        <v>1015</v>
      </c>
      <c r="H10" s="238" t="s">
        <v>1016</v>
      </c>
      <c r="I10" s="238" t="s">
        <v>1017</v>
      </c>
    </row>
    <row r="11" spans="2:9">
      <c r="B11" s="1939"/>
      <c r="C11" s="849" t="s">
        <v>794</v>
      </c>
      <c r="D11" s="849" t="s">
        <v>798</v>
      </c>
      <c r="E11" s="849" t="s">
        <v>1018</v>
      </c>
      <c r="F11" s="849" t="s">
        <v>1019</v>
      </c>
      <c r="G11" s="849" t="s">
        <v>274</v>
      </c>
      <c r="H11" s="849" t="s">
        <v>274</v>
      </c>
      <c r="I11" s="849" t="s">
        <v>274</v>
      </c>
    </row>
    <row r="12" spans="2:9">
      <c r="B12" s="238" t="s">
        <v>1020</v>
      </c>
      <c r="C12" s="238"/>
      <c r="D12" s="238"/>
      <c r="E12" s="238"/>
      <c r="F12" s="238"/>
      <c r="G12" s="739">
        <f>C12*E12</f>
        <v>0</v>
      </c>
      <c r="H12" s="739">
        <f>D12*F12</f>
        <v>0</v>
      </c>
      <c r="I12" s="739">
        <f t="shared" ref="I12:I23" si="0">G12+H12</f>
        <v>0</v>
      </c>
    </row>
    <row r="13" spans="2:9">
      <c r="B13" s="238" t="s">
        <v>1021</v>
      </c>
      <c r="C13" s="238"/>
      <c r="D13" s="238"/>
      <c r="E13" s="238"/>
      <c r="F13" s="238"/>
      <c r="G13" s="739">
        <f t="shared" ref="G13:H23" si="1">C13*E13</f>
        <v>0</v>
      </c>
      <c r="H13" s="739">
        <f t="shared" si="1"/>
        <v>0</v>
      </c>
      <c r="I13" s="739">
        <f t="shared" si="0"/>
        <v>0</v>
      </c>
    </row>
    <row r="14" spans="2:9">
      <c r="B14" s="238" t="s">
        <v>1022</v>
      </c>
      <c r="C14" s="238"/>
      <c r="D14" s="238"/>
      <c r="E14" s="238"/>
      <c r="F14" s="238"/>
      <c r="G14" s="739">
        <f t="shared" si="1"/>
        <v>0</v>
      </c>
      <c r="H14" s="739">
        <f t="shared" si="1"/>
        <v>0</v>
      </c>
      <c r="I14" s="739">
        <f t="shared" si="0"/>
        <v>0</v>
      </c>
    </row>
    <row r="15" spans="2:9">
      <c r="B15" s="238" t="s">
        <v>1023</v>
      </c>
      <c r="C15" s="238"/>
      <c r="D15" s="238"/>
      <c r="E15" s="238"/>
      <c r="F15" s="238"/>
      <c r="G15" s="739">
        <f t="shared" si="1"/>
        <v>0</v>
      </c>
      <c r="H15" s="739">
        <f t="shared" si="1"/>
        <v>0</v>
      </c>
      <c r="I15" s="739">
        <f t="shared" si="0"/>
        <v>0</v>
      </c>
    </row>
    <row r="16" spans="2:9">
      <c r="B16" s="238" t="s">
        <v>1024</v>
      </c>
      <c r="C16" s="238"/>
      <c r="D16" s="238"/>
      <c r="E16" s="238"/>
      <c r="F16" s="238"/>
      <c r="G16" s="739">
        <f t="shared" si="1"/>
        <v>0</v>
      </c>
      <c r="H16" s="739">
        <f t="shared" si="1"/>
        <v>0</v>
      </c>
      <c r="I16" s="739">
        <f t="shared" si="0"/>
        <v>0</v>
      </c>
    </row>
    <row r="17" spans="2:9">
      <c r="B17" s="238" t="s">
        <v>1025</v>
      </c>
      <c r="C17" s="238"/>
      <c r="D17" s="238"/>
      <c r="E17" s="238"/>
      <c r="F17" s="238"/>
      <c r="G17" s="739">
        <f t="shared" si="1"/>
        <v>0</v>
      </c>
      <c r="H17" s="739">
        <f t="shared" si="1"/>
        <v>0</v>
      </c>
      <c r="I17" s="739">
        <f t="shared" si="0"/>
        <v>0</v>
      </c>
    </row>
    <row r="18" spans="2:9">
      <c r="B18" s="238" t="s">
        <v>1026</v>
      </c>
      <c r="C18" s="238"/>
      <c r="D18" s="238"/>
      <c r="E18" s="238"/>
      <c r="F18" s="238"/>
      <c r="G18" s="739">
        <f t="shared" si="1"/>
        <v>0</v>
      </c>
      <c r="H18" s="739">
        <f t="shared" si="1"/>
        <v>0</v>
      </c>
      <c r="I18" s="739">
        <f t="shared" si="0"/>
        <v>0</v>
      </c>
    </row>
    <row r="19" spans="2:9">
      <c r="B19" s="238" t="s">
        <v>1027</v>
      </c>
      <c r="C19" s="238"/>
      <c r="D19" s="238"/>
      <c r="E19" s="238"/>
      <c r="F19" s="238"/>
      <c r="G19" s="739">
        <f t="shared" si="1"/>
        <v>0</v>
      </c>
      <c r="H19" s="739">
        <f t="shared" si="1"/>
        <v>0</v>
      </c>
      <c r="I19" s="739">
        <f t="shared" si="0"/>
        <v>0</v>
      </c>
    </row>
    <row r="20" spans="2:9">
      <c r="B20" s="238" t="s">
        <v>1028</v>
      </c>
      <c r="C20" s="238"/>
      <c r="D20" s="238"/>
      <c r="E20" s="238"/>
      <c r="F20" s="238"/>
      <c r="G20" s="739">
        <f t="shared" si="1"/>
        <v>0</v>
      </c>
      <c r="H20" s="739">
        <f t="shared" si="1"/>
        <v>0</v>
      </c>
      <c r="I20" s="739">
        <f t="shared" si="0"/>
        <v>0</v>
      </c>
    </row>
    <row r="21" spans="2:9">
      <c r="B21" s="238" t="s">
        <v>1029</v>
      </c>
      <c r="C21" s="238"/>
      <c r="D21" s="238"/>
      <c r="E21" s="238"/>
      <c r="F21" s="238"/>
      <c r="G21" s="739">
        <f t="shared" si="1"/>
        <v>0</v>
      </c>
      <c r="H21" s="739">
        <f t="shared" si="1"/>
        <v>0</v>
      </c>
      <c r="I21" s="739">
        <f t="shared" si="0"/>
        <v>0</v>
      </c>
    </row>
    <row r="22" spans="2:9">
      <c r="B22" s="238" t="s">
        <v>1030</v>
      </c>
      <c r="C22" s="238"/>
      <c r="D22" s="238"/>
      <c r="E22" s="238"/>
      <c r="F22" s="238"/>
      <c r="G22" s="739">
        <f t="shared" si="1"/>
        <v>0</v>
      </c>
      <c r="H22" s="739">
        <f t="shared" si="1"/>
        <v>0</v>
      </c>
      <c r="I22" s="739">
        <f t="shared" si="0"/>
        <v>0</v>
      </c>
    </row>
    <row r="23" spans="2:9">
      <c r="B23" s="238" t="s">
        <v>1031</v>
      </c>
      <c r="C23" s="238"/>
      <c r="D23" s="238"/>
      <c r="E23" s="238"/>
      <c r="F23" s="238"/>
      <c r="G23" s="739">
        <f t="shared" si="1"/>
        <v>0</v>
      </c>
      <c r="H23" s="739">
        <f t="shared" si="1"/>
        <v>0</v>
      </c>
      <c r="I23" s="739">
        <f t="shared" si="0"/>
        <v>0</v>
      </c>
    </row>
    <row r="24" spans="2:9">
      <c r="B24" s="238" t="s">
        <v>640</v>
      </c>
      <c r="C24" s="238"/>
      <c r="D24" s="238">
        <f>SUM(D12:D23)</f>
        <v>0</v>
      </c>
      <c r="E24" s="238"/>
      <c r="F24" s="238"/>
      <c r="G24" s="238">
        <f>SUM(G12:G23)</f>
        <v>0</v>
      </c>
      <c r="H24" s="238">
        <f>SUM(H12:H23)</f>
        <v>0</v>
      </c>
      <c r="I24" s="238">
        <f>SUM(I12:I23)</f>
        <v>0</v>
      </c>
    </row>
    <row r="25" spans="2:9">
      <c r="B25" s="1944"/>
      <c r="C25" s="1944"/>
      <c r="D25" s="1944"/>
      <c r="E25" s="1944"/>
      <c r="F25" s="1944"/>
      <c r="G25" s="1944"/>
      <c r="H25" s="1944"/>
    </row>
  </sheetData>
  <mergeCells count="8">
    <mergeCell ref="B25:H25"/>
    <mergeCell ref="B6:I6"/>
    <mergeCell ref="B9:B11"/>
    <mergeCell ref="C9:C10"/>
    <mergeCell ref="D9:D10"/>
    <mergeCell ref="E9:E10"/>
    <mergeCell ref="F9:F10"/>
    <mergeCell ref="G9:I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B4:L23"/>
  <sheetViews>
    <sheetView workbookViewId="0">
      <selection activeCell="G11" sqref="G11"/>
    </sheetView>
  </sheetViews>
  <sheetFormatPr defaultRowHeight="12.75"/>
  <cols>
    <col min="3" max="3" width="12.7109375" customWidth="1"/>
    <col min="4" max="4" width="9.5703125" customWidth="1"/>
    <col min="5" max="5" width="13" customWidth="1"/>
    <col min="6" max="6" width="11.5703125" customWidth="1"/>
    <col min="7" max="9" width="12.140625" customWidth="1"/>
  </cols>
  <sheetData>
    <row r="4" spans="2:12" ht="27.75" customHeight="1">
      <c r="B4" s="1959" t="s">
        <v>1450</v>
      </c>
      <c r="C4" s="1959"/>
      <c r="D4" s="1959"/>
      <c r="E4" s="1959"/>
      <c r="F4" s="1959"/>
      <c r="G4" s="1959"/>
      <c r="H4" s="1959"/>
      <c r="I4" s="1959"/>
    </row>
    <row r="6" spans="2:12">
      <c r="B6" s="1960" t="s">
        <v>1010</v>
      </c>
      <c r="C6" s="1961" t="s">
        <v>793</v>
      </c>
      <c r="D6" s="1961" t="s">
        <v>1033</v>
      </c>
      <c r="E6" s="1961" t="s">
        <v>1012</v>
      </c>
      <c r="F6" s="1961" t="s">
        <v>1013</v>
      </c>
      <c r="G6" s="1961" t="s">
        <v>879</v>
      </c>
      <c r="H6" s="1961"/>
      <c r="I6" s="1961"/>
    </row>
    <row r="7" spans="2:12" ht="38.25">
      <c r="B7" s="1960"/>
      <c r="C7" s="1961"/>
      <c r="D7" s="1961"/>
      <c r="E7" s="1961"/>
      <c r="F7" s="1961"/>
      <c r="G7" s="977" t="s">
        <v>1015</v>
      </c>
      <c r="H7" s="977" t="s">
        <v>1016</v>
      </c>
      <c r="I7" s="977" t="s">
        <v>1017</v>
      </c>
    </row>
    <row r="8" spans="2:12" ht="27" customHeight="1">
      <c r="B8" s="1960"/>
      <c r="C8" s="976" t="s">
        <v>794</v>
      </c>
      <c r="D8" s="976" t="s">
        <v>798</v>
      </c>
      <c r="E8" s="976" t="s">
        <v>1018</v>
      </c>
      <c r="F8" s="976" t="s">
        <v>1019</v>
      </c>
      <c r="G8" s="976" t="s">
        <v>274</v>
      </c>
      <c r="H8" s="976" t="s">
        <v>274</v>
      </c>
      <c r="I8" s="976" t="s">
        <v>274</v>
      </c>
    </row>
    <row r="9" spans="2:12">
      <c r="B9" s="685" t="s">
        <v>1020</v>
      </c>
      <c r="C9" s="849">
        <v>4.1989999999999998</v>
      </c>
      <c r="D9" s="943">
        <v>2076.951</v>
      </c>
      <c r="E9" s="943">
        <v>624512.48</v>
      </c>
      <c r="F9" s="1613">
        <v>827.01</v>
      </c>
      <c r="G9" s="943">
        <f>C9*E9</f>
        <v>2622327.9035199997</v>
      </c>
      <c r="H9" s="943">
        <f>D9*F9</f>
        <v>1717659.24651</v>
      </c>
      <c r="I9" s="943">
        <f>G9+H9</f>
        <v>4339987.1500300001</v>
      </c>
    </row>
    <row r="10" spans="2:12">
      <c r="B10" s="685" t="s">
        <v>1021</v>
      </c>
      <c r="C10" s="849">
        <v>4.1989999999999998</v>
      </c>
      <c r="D10" s="943">
        <v>2032.377</v>
      </c>
      <c r="E10" s="943">
        <v>624512.48</v>
      </c>
      <c r="F10" s="1613">
        <v>827.01</v>
      </c>
      <c r="G10" s="943">
        <f>C10*E10</f>
        <v>2622327.9035199997</v>
      </c>
      <c r="H10" s="943">
        <f t="shared" ref="G10:H20" si="0">D10*F10</f>
        <v>1680796.10277</v>
      </c>
      <c r="I10" s="943">
        <f t="shared" ref="I10:I20" si="1">G10+H10</f>
        <v>4303124.0062899999</v>
      </c>
      <c r="L10" s="922"/>
    </row>
    <row r="11" spans="2:12">
      <c r="B11" s="685" t="s">
        <v>1022</v>
      </c>
      <c r="C11" s="849">
        <v>4.1989999999999998</v>
      </c>
      <c r="D11" s="943">
        <v>1938.912</v>
      </c>
      <c r="E11" s="943">
        <v>624512.48</v>
      </c>
      <c r="F11" s="1613">
        <v>827.01</v>
      </c>
      <c r="G11" s="943">
        <f t="shared" si="0"/>
        <v>2622327.9035199997</v>
      </c>
      <c r="H11" s="943">
        <f t="shared" si="0"/>
        <v>1603499.6131200001</v>
      </c>
      <c r="I11" s="943">
        <f t="shared" si="1"/>
        <v>4225827.51664</v>
      </c>
      <c r="L11" s="922"/>
    </row>
    <row r="12" spans="2:12">
      <c r="B12" s="685" t="s">
        <v>1023</v>
      </c>
      <c r="C12" s="849">
        <v>4.1989999999999998</v>
      </c>
      <c r="D12" s="943">
        <v>1775.5340000000001</v>
      </c>
      <c r="E12" s="943">
        <v>624512.48</v>
      </c>
      <c r="F12" s="1613">
        <v>827.01</v>
      </c>
      <c r="G12" s="943">
        <f t="shared" si="0"/>
        <v>2622327.9035199997</v>
      </c>
      <c r="H12" s="943">
        <f t="shared" si="0"/>
        <v>1468384.3733400002</v>
      </c>
      <c r="I12" s="943">
        <f t="shared" si="1"/>
        <v>4090712.2768599996</v>
      </c>
      <c r="L12" s="922"/>
    </row>
    <row r="13" spans="2:12">
      <c r="B13" s="685" t="s">
        <v>1024</v>
      </c>
      <c r="C13" s="849">
        <v>4.1989999999999998</v>
      </c>
      <c r="D13" s="943">
        <v>1677.922</v>
      </c>
      <c r="E13" s="943">
        <v>624512.48</v>
      </c>
      <c r="F13" s="1613">
        <v>827.01</v>
      </c>
      <c r="G13" s="943">
        <f t="shared" si="0"/>
        <v>2622327.9035199997</v>
      </c>
      <c r="H13" s="943">
        <f t="shared" si="0"/>
        <v>1387658.2732200001</v>
      </c>
      <c r="I13" s="943">
        <f t="shared" si="1"/>
        <v>4009986.17674</v>
      </c>
      <c r="L13" s="922"/>
    </row>
    <row r="14" spans="2:12">
      <c r="B14" s="685" t="s">
        <v>1025</v>
      </c>
      <c r="C14" s="849">
        <v>4.1989999999999998</v>
      </c>
      <c r="D14" s="943">
        <v>1767.9</v>
      </c>
      <c r="E14" s="943">
        <v>624512.48</v>
      </c>
      <c r="F14" s="1613">
        <v>827.01</v>
      </c>
      <c r="G14" s="943">
        <f t="shared" si="0"/>
        <v>2622327.9035199997</v>
      </c>
      <c r="H14" s="943">
        <f t="shared" si="0"/>
        <v>1462070.9790000001</v>
      </c>
      <c r="I14" s="943">
        <f t="shared" si="1"/>
        <v>4084398.8825199995</v>
      </c>
      <c r="L14" s="922"/>
    </row>
    <row r="15" spans="2:12">
      <c r="B15" s="685" t="s">
        <v>1026</v>
      </c>
      <c r="C15" s="849">
        <v>4.1989999999999998</v>
      </c>
      <c r="D15" s="943">
        <v>1587.079</v>
      </c>
      <c r="E15" s="943">
        <v>624512.48</v>
      </c>
      <c r="F15" s="1613">
        <v>892.37</v>
      </c>
      <c r="G15" s="943">
        <f t="shared" si="0"/>
        <v>2622327.9035199997</v>
      </c>
      <c r="H15" s="943">
        <f t="shared" si="0"/>
        <v>1416261.68723</v>
      </c>
      <c r="I15" s="943">
        <f t="shared" si="1"/>
        <v>4038589.5907499995</v>
      </c>
      <c r="L15" s="922"/>
    </row>
    <row r="16" spans="2:12">
      <c r="B16" s="685" t="s">
        <v>1027</v>
      </c>
      <c r="C16" s="849">
        <v>4.1989999999999998</v>
      </c>
      <c r="D16" s="943">
        <v>1694.538</v>
      </c>
      <c r="E16" s="943">
        <v>624512.48</v>
      </c>
      <c r="F16" s="1613">
        <v>892.37</v>
      </c>
      <c r="G16" s="943">
        <f t="shared" si="0"/>
        <v>2622327.9035199997</v>
      </c>
      <c r="H16" s="943">
        <f t="shared" si="0"/>
        <v>1512154.87506</v>
      </c>
      <c r="I16" s="943">
        <f t="shared" si="1"/>
        <v>4134482.7785799997</v>
      </c>
      <c r="L16" s="922"/>
    </row>
    <row r="17" spans="2:12">
      <c r="B17" s="685" t="s">
        <v>1028</v>
      </c>
      <c r="C17" s="849">
        <v>4.1989999999999998</v>
      </c>
      <c r="D17" s="943">
        <v>1654.8920000000001</v>
      </c>
      <c r="E17" s="943">
        <v>624512.48</v>
      </c>
      <c r="F17" s="1613">
        <v>892.37</v>
      </c>
      <c r="G17" s="943">
        <f t="shared" si="0"/>
        <v>2622327.9035199997</v>
      </c>
      <c r="H17" s="943">
        <f t="shared" si="0"/>
        <v>1476775.97404</v>
      </c>
      <c r="I17" s="943">
        <f t="shared" si="1"/>
        <v>4099103.8775599999</v>
      </c>
      <c r="L17" s="922"/>
    </row>
    <row r="18" spans="2:12">
      <c r="B18" s="685" t="s">
        <v>1029</v>
      </c>
      <c r="C18" s="849">
        <v>4.1989999999999998</v>
      </c>
      <c r="D18" s="943">
        <v>1961.144</v>
      </c>
      <c r="E18" s="943">
        <v>624512.48</v>
      </c>
      <c r="F18" s="1613">
        <v>892.37</v>
      </c>
      <c r="G18" s="943">
        <f t="shared" si="0"/>
        <v>2622327.9035199997</v>
      </c>
      <c r="H18" s="943">
        <f t="shared" si="0"/>
        <v>1750066.07128</v>
      </c>
      <c r="I18" s="943">
        <f t="shared" si="1"/>
        <v>4372393.9748</v>
      </c>
      <c r="L18" s="922"/>
    </row>
    <row r="19" spans="2:12">
      <c r="B19" s="685" t="s">
        <v>1030</v>
      </c>
      <c r="C19" s="849">
        <v>4.1989999999999998</v>
      </c>
      <c r="D19" s="943">
        <v>2046.62</v>
      </c>
      <c r="E19" s="943">
        <v>624512.48</v>
      </c>
      <c r="F19" s="1613">
        <v>892.37</v>
      </c>
      <c r="G19" s="943">
        <f t="shared" si="0"/>
        <v>2622327.9035199997</v>
      </c>
      <c r="H19" s="943">
        <f t="shared" si="0"/>
        <v>1826342.2893999999</v>
      </c>
      <c r="I19" s="943">
        <f t="shared" si="1"/>
        <v>4448670.1929199994</v>
      </c>
      <c r="L19" s="922"/>
    </row>
    <row r="20" spans="2:12">
      <c r="B20" s="685" t="s">
        <v>1031</v>
      </c>
      <c r="C20" s="849">
        <v>4.1989999999999998</v>
      </c>
      <c r="D20" s="943">
        <v>2156.6799999999998</v>
      </c>
      <c r="E20" s="943">
        <v>624512.48</v>
      </c>
      <c r="F20" s="1613">
        <v>892.37</v>
      </c>
      <c r="G20" s="943">
        <f t="shared" si="0"/>
        <v>2622327.9035199997</v>
      </c>
      <c r="H20" s="943">
        <f t="shared" si="0"/>
        <v>1924556.5315999999</v>
      </c>
      <c r="I20" s="943">
        <f t="shared" si="1"/>
        <v>4546884.4351199996</v>
      </c>
      <c r="L20" s="922"/>
    </row>
    <row r="21" spans="2:12">
      <c r="B21" s="685" t="s">
        <v>640</v>
      </c>
      <c r="C21" s="978"/>
      <c r="D21" s="978">
        <f>SUM(D9:D20)</f>
        <v>22370.548999999999</v>
      </c>
      <c r="E21" s="685"/>
      <c r="F21" s="685"/>
      <c r="G21" s="685">
        <f>SUM(G9:G20)</f>
        <v>31467934.842239995</v>
      </c>
      <c r="H21" s="685">
        <f>SUM(H9:H20)</f>
        <v>19226226.016569998</v>
      </c>
      <c r="I21" s="685">
        <f>SUM(I9:I20)</f>
        <v>50694160.85881</v>
      </c>
      <c r="L21" s="922"/>
    </row>
    <row r="22" spans="2:12">
      <c r="B22" s="1944"/>
      <c r="C22" s="1944"/>
    </row>
    <row r="23" spans="2:12">
      <c r="B23" s="216"/>
      <c r="C23" s="216"/>
      <c r="D23" s="216"/>
      <c r="E23" s="216"/>
      <c r="F23" s="216"/>
      <c r="G23" s="216"/>
      <c r="H23" s="216"/>
      <c r="I23" s="216"/>
    </row>
  </sheetData>
  <mergeCells count="8">
    <mergeCell ref="B22:C22"/>
    <mergeCell ref="B4:I4"/>
    <mergeCell ref="B6:B8"/>
    <mergeCell ref="C6:C7"/>
    <mergeCell ref="D6:D7"/>
    <mergeCell ref="E6:E7"/>
    <mergeCell ref="F6:F7"/>
    <mergeCell ref="G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40</vt:i4>
      </vt:variant>
      <vt:variant>
        <vt:lpstr>Именованные диапазоны</vt:lpstr>
      </vt:variant>
      <vt:variant>
        <vt:i4>22</vt:i4>
      </vt:variant>
    </vt:vector>
  </HeadingPairs>
  <TitlesOfParts>
    <vt:vector size="62" baseType="lpstr">
      <vt:lpstr>Перечень необх.документов</vt:lpstr>
      <vt:lpstr>Заявление</vt:lpstr>
      <vt:lpstr>Реквизиты организации</vt:lpstr>
      <vt:lpstr>2.1</vt:lpstr>
      <vt:lpstr>2.2</vt:lpstr>
      <vt:lpstr>1.4</vt:lpstr>
      <vt:lpstr>1.5</vt:lpstr>
      <vt:lpstr>Свод долгосрочный </vt:lpstr>
      <vt:lpstr>Информация о согл. объемах</vt:lpstr>
      <vt:lpstr>Сырье и материалы</vt:lpstr>
      <vt:lpstr>Раб. и усл. произ. хар-ра</vt:lpstr>
      <vt:lpstr>Затраты на ремонт</vt:lpstr>
      <vt:lpstr>Ком предл.</vt:lpstr>
      <vt:lpstr>Оплата труда</vt:lpstr>
      <vt:lpstr>Числ. и разряд</vt:lpstr>
      <vt:lpstr>Другие прочие и подконтрольные </vt:lpstr>
      <vt:lpstr>Оплата услуг ФСК</vt:lpstr>
      <vt:lpstr>ГСМ</vt:lpstr>
      <vt:lpstr>Содержание зданий</vt:lpstr>
      <vt:lpstr>Лизинг</vt:lpstr>
      <vt:lpstr>Плата за землю</vt:lpstr>
      <vt:lpstr>Налог на имущество</vt:lpstr>
      <vt:lpstr>Транс. налог</vt:lpstr>
      <vt:lpstr>негативное воздействие </vt:lpstr>
      <vt:lpstr>прочие налоги и сборы</vt:lpstr>
      <vt:lpstr>прочие НР</vt:lpstr>
      <vt:lpstr>Аммортизация</vt:lpstr>
      <vt:lpstr>Корр ПР</vt:lpstr>
      <vt:lpstr>Корр. НР</vt:lpstr>
      <vt:lpstr>Корр. ПО</vt:lpstr>
      <vt:lpstr>Корр. ИП</vt:lpstr>
      <vt:lpstr>Корр. КНК</vt:lpstr>
      <vt:lpstr>Выпадающие от ТП</vt:lpstr>
      <vt:lpstr>ТЭП</vt:lpstr>
      <vt:lpstr>Форма 1</vt:lpstr>
      <vt:lpstr>Форма 2</vt:lpstr>
      <vt:lpstr>Смета расходов и доходов</vt:lpstr>
      <vt:lpstr>Сводная 2020</vt:lpstr>
      <vt:lpstr>Свод  по актам ФСК</vt:lpstr>
      <vt:lpstr>Доходы</vt:lpstr>
      <vt:lpstr>'Транс. налог'!Заголовки_для_печати</vt:lpstr>
      <vt:lpstr>'1.4'!Область_печати</vt:lpstr>
      <vt:lpstr>'1.5'!Область_печати</vt:lpstr>
      <vt:lpstr>'2.1'!Область_печати</vt:lpstr>
      <vt:lpstr>'2.2'!Область_печати</vt:lpstr>
      <vt:lpstr>Аммортизация!Область_печати</vt:lpstr>
      <vt:lpstr>ГСМ!Область_печати</vt:lpstr>
      <vt:lpstr>'Другие прочие и подконтрольные '!Область_печати</vt:lpstr>
      <vt:lpstr>'Затраты на ремонт'!Область_печати</vt:lpstr>
      <vt:lpstr>Заявление!Область_печати</vt:lpstr>
      <vt:lpstr>'Налог на имущество'!Область_печати</vt:lpstr>
      <vt:lpstr>'Оплата труда'!Область_печати</vt:lpstr>
      <vt:lpstr>'Оплата услуг ФСК'!Область_печати</vt:lpstr>
      <vt:lpstr>'Плата за землю'!Область_печати</vt:lpstr>
      <vt:lpstr>'Раб. и усл. произ. хар-ра'!Область_печати</vt:lpstr>
      <vt:lpstr>'Реквизиты организации'!Область_печати</vt:lpstr>
      <vt:lpstr>'Свод долгосрочный '!Область_печати</vt:lpstr>
      <vt:lpstr>'Сводная 2020'!Область_печати</vt:lpstr>
      <vt:lpstr>'Содержание зданий'!Область_печати</vt:lpstr>
      <vt:lpstr>'Сырье и материалы'!Область_печати</vt:lpstr>
      <vt:lpstr>'Транс. налог'!Область_печати</vt:lpstr>
      <vt:lpstr>'Числ. и разряд'!Область_печати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ценообразования</dc:creator>
  <cp:lastModifiedBy>Irina</cp:lastModifiedBy>
  <cp:lastPrinted>2019-12-18T06:48:54Z</cp:lastPrinted>
  <dcterms:created xsi:type="dcterms:W3CDTF">2003-09-01T06:35:10Z</dcterms:created>
  <dcterms:modified xsi:type="dcterms:W3CDTF">2021-06-18T13:23:27Z</dcterms:modified>
</cp:coreProperties>
</file>